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05" windowWidth="15480" windowHeight="10575" activeTab="3"/>
  </bookViews>
  <sheets>
    <sheet name="Read Me (ENG)" sheetId="8" r:id="rId1"/>
    <sheet name="Lisez-moi (FR)" sheetId="9" r:id="rId2"/>
    <sheet name="Léame (ESP)" sheetId="10" r:id="rId3"/>
    <sheet name="Input" sheetId="1" r:id="rId4"/>
    <sheet name="Calculation" sheetId="4" r:id="rId5"/>
    <sheet name="Output" sheetId="2" r:id="rId6"/>
    <sheet name="Products" sheetId="3" r:id="rId7"/>
    <sheet name="Date Function" sheetId="6" state="hidden" r:id="rId8"/>
    <sheet name="Frt-table" sheetId="7" state="hidden" r:id="rId9"/>
  </sheets>
  <definedNames>
    <definedName name="country">'Frt-table'!$B$2:$B$75</definedName>
    <definedName name="Date_Table">'Date Function'!$B$7:$D$42</definedName>
    <definedName name="frttable">'Frt-table'!$B$2:$I$75</definedName>
    <definedName name="Group">Input!$B$109:$B$133</definedName>
    <definedName name="inpatient">Calculation!$B$14:$G$28</definedName>
    <definedName name="outpatient">Calculation!$B$32:$G$41</definedName>
    <definedName name="_xlnm.Print_Area" localSheetId="4">Calculation!$A$1:$O$167</definedName>
    <definedName name="_xlnm.Print_Area" localSheetId="3">Input!$A$1:$S$145</definedName>
    <definedName name="_xlnm.Print_Area" localSheetId="2">'Léame (ESP)'!$A$1:$D$26</definedName>
    <definedName name="_xlnm.Print_Area" localSheetId="1">'Lisez-moi (FR)'!$A$1:$D$26</definedName>
    <definedName name="_xlnm.Print_Area" localSheetId="5">Output!$A$1:$H$110</definedName>
    <definedName name="_xlnm.Print_Area" localSheetId="6">Products!$A$1:$S$37</definedName>
    <definedName name="_xlnm.Print_Area" localSheetId="0">'Read Me (ENG)'!$A$1:$D$29</definedName>
    <definedName name="_xlnm.Print_Titles" localSheetId="5">Output!$2:$6</definedName>
    <definedName name="products_all">Products!$B$5:$L$24</definedName>
    <definedName name="products_dd">Products!$B$5:$B$24</definedName>
    <definedName name="treatm_in">Input!$B$35:$H$49</definedName>
    <definedName name="treatm_out">Input!$B$53:$H$62</definedName>
  </definedNames>
  <calcPr calcId="145621"/>
</workbook>
</file>

<file path=xl/calcChain.xml><?xml version="1.0" encoding="utf-8"?>
<calcChain xmlns="http://schemas.openxmlformats.org/spreadsheetml/2006/main">
  <c r="D46" i="4" l="1"/>
  <c r="G46" i="4"/>
  <c r="F46" i="4"/>
  <c r="E46" i="4"/>
  <c r="D14" i="1"/>
  <c r="D2" i="6"/>
  <c r="D3" i="6" s="1"/>
  <c r="H5" i="3"/>
  <c r="G8" i="3"/>
  <c r="H8" i="3"/>
  <c r="H9" i="3"/>
  <c r="G10" i="3"/>
  <c r="H10" i="3"/>
  <c r="G11" i="3"/>
  <c r="H11" i="3"/>
  <c r="G12" i="3"/>
  <c r="H12" i="3"/>
  <c r="F13" i="3"/>
  <c r="H13" i="3" s="1"/>
  <c r="G14" i="3"/>
  <c r="H14" i="3"/>
  <c r="G15" i="3"/>
  <c r="H15" i="3"/>
  <c r="C2" i="2"/>
  <c r="O71" i="1"/>
  <c r="O72" i="1"/>
  <c r="O76" i="1"/>
  <c r="O77" i="1"/>
  <c r="A36" i="1"/>
  <c r="A37" i="1" s="1"/>
  <c r="A38" i="1" s="1"/>
  <c r="A39" i="1" s="1"/>
  <c r="A40" i="1" s="1"/>
  <c r="A41" i="1" s="1"/>
  <c r="A42" i="1" s="1"/>
  <c r="A43" i="1" s="1"/>
  <c r="A44" i="1" s="1"/>
  <c r="A45" i="1" s="1"/>
  <c r="A46" i="1" s="1"/>
  <c r="A47" i="1" s="1"/>
  <c r="A48" i="1" s="1"/>
  <c r="A49" i="1" s="1"/>
  <c r="A53" i="1" s="1"/>
  <c r="A54" i="1" s="1"/>
  <c r="A55" i="1" s="1"/>
  <c r="A56" i="1" s="1"/>
  <c r="A57" i="1" s="1"/>
  <c r="A58" i="1" s="1"/>
  <c r="A59" i="1" s="1"/>
  <c r="A60" i="1" s="1"/>
  <c r="A61" i="1" s="1"/>
  <c r="A62" i="1" s="1"/>
  <c r="B109" i="1" s="1"/>
  <c r="B14" i="4"/>
  <c r="I14" i="4" s="1"/>
  <c r="D5" i="4"/>
  <c r="D7" i="4"/>
  <c r="C18" i="2" s="1"/>
  <c r="B32" i="4"/>
  <c r="I32" i="4" s="1"/>
  <c r="B33" i="4"/>
  <c r="B34" i="4"/>
  <c r="B35" i="4"/>
  <c r="I35" i="4" s="1"/>
  <c r="B36" i="4"/>
  <c r="B37" i="4"/>
  <c r="B38" i="4"/>
  <c r="B39" i="4"/>
  <c r="D39" i="4" s="1"/>
  <c r="B40" i="4"/>
  <c r="F40" i="4" s="1"/>
  <c r="B41" i="4"/>
  <c r="C41" i="4" s="1"/>
  <c r="E5" i="4"/>
  <c r="D16" i="2" s="1"/>
  <c r="E7" i="4"/>
  <c r="D18" i="2" s="1"/>
  <c r="F5" i="4"/>
  <c r="H5" i="4" s="1"/>
  <c r="G16" i="2" s="1"/>
  <c r="F7" i="4"/>
  <c r="E18" i="2" s="1"/>
  <c r="G5" i="4"/>
  <c r="F16" i="2"/>
  <c r="G7" i="4"/>
  <c r="F18" i="2" s="1"/>
  <c r="D45" i="4"/>
  <c r="E45" i="4"/>
  <c r="F45" i="4"/>
  <c r="G45" i="4"/>
  <c r="L109" i="1"/>
  <c r="J78" i="4" s="1"/>
  <c r="F53" i="2" s="1"/>
  <c r="F105" i="4"/>
  <c r="A110" i="1"/>
  <c r="A111" i="1" s="1"/>
  <c r="A112" i="1" s="1"/>
  <c r="A113" i="1" s="1"/>
  <c r="A114" i="1" s="1"/>
  <c r="A115" i="1" s="1"/>
  <c r="B15" i="4"/>
  <c r="I15" i="4" s="1"/>
  <c r="D36" i="1"/>
  <c r="L110" i="1"/>
  <c r="J79" i="4" s="1"/>
  <c r="F54" i="2" s="1"/>
  <c r="B16" i="4"/>
  <c r="I16" i="4" s="1"/>
  <c r="D37" i="1"/>
  <c r="E37" i="1" s="1"/>
  <c r="L111" i="1"/>
  <c r="J80" i="4" s="1"/>
  <c r="F55" i="2" s="1"/>
  <c r="B17" i="4"/>
  <c r="D38" i="1"/>
  <c r="E38" i="1" s="1"/>
  <c r="L112" i="1"/>
  <c r="J81" i="4" s="1"/>
  <c r="F56" i="2" s="1"/>
  <c r="B18" i="4"/>
  <c r="D6" i="4"/>
  <c r="D8" i="4"/>
  <c r="E6" i="4"/>
  <c r="D17" i="2" s="1"/>
  <c r="E8" i="4"/>
  <c r="F6" i="4"/>
  <c r="E17" i="2" s="1"/>
  <c r="F8" i="4"/>
  <c r="G6" i="4"/>
  <c r="G9" i="4" s="1"/>
  <c r="F20" i="2" s="1"/>
  <c r="G8" i="4"/>
  <c r="F19" i="2" s="1"/>
  <c r="D39" i="1"/>
  <c r="D53" i="1"/>
  <c r="E53" i="1" s="1"/>
  <c r="L113" i="1"/>
  <c r="J82" i="4" s="1"/>
  <c r="F57" i="2" s="1"/>
  <c r="B19" i="4"/>
  <c r="I19" i="4" s="1"/>
  <c r="I33" i="4"/>
  <c r="D40" i="1"/>
  <c r="D54" i="1"/>
  <c r="E54" i="1" s="1"/>
  <c r="L114" i="1"/>
  <c r="J83" i="4"/>
  <c r="F58" i="2" s="1"/>
  <c r="B20" i="4"/>
  <c r="C20" i="4" s="1"/>
  <c r="I34" i="4"/>
  <c r="D41" i="1"/>
  <c r="D55" i="1"/>
  <c r="E55" i="1" s="1"/>
  <c r="L115" i="1"/>
  <c r="J84" i="4" s="1"/>
  <c r="F59" i="2" s="1"/>
  <c r="B21" i="4"/>
  <c r="I21" i="4" s="1"/>
  <c r="D42" i="1"/>
  <c r="E42" i="1" s="1"/>
  <c r="L116" i="1"/>
  <c r="J85" i="4" s="1"/>
  <c r="F60" i="2" s="1"/>
  <c r="B22" i="4"/>
  <c r="I22" i="4" s="1"/>
  <c r="I36" i="4"/>
  <c r="D43" i="1"/>
  <c r="D57" i="1"/>
  <c r="E57" i="1" s="1"/>
  <c r="L117" i="1"/>
  <c r="J86" i="4"/>
  <c r="F61" i="2" s="1"/>
  <c r="B23" i="4"/>
  <c r="E23" i="4" s="1"/>
  <c r="B24" i="4"/>
  <c r="E24" i="4" s="1"/>
  <c r="B25" i="4"/>
  <c r="B26" i="4"/>
  <c r="B27" i="4"/>
  <c r="E27" i="4" s="1"/>
  <c r="B28" i="4"/>
  <c r="F28" i="4" s="1"/>
  <c r="D56" i="1"/>
  <c r="L118" i="1"/>
  <c r="J87" i="4" s="1"/>
  <c r="F62" i="2" s="1"/>
  <c r="C21" i="1"/>
  <c r="C25" i="1" s="1"/>
  <c r="C99" i="1"/>
  <c r="D134" i="1"/>
  <c r="H63" i="1"/>
  <c r="C16" i="2"/>
  <c r="C19" i="2"/>
  <c r="L119" i="1"/>
  <c r="J88" i="4" s="1"/>
  <c r="F63" i="2" s="1"/>
  <c r="L120" i="1"/>
  <c r="J89" i="4" s="1"/>
  <c r="F64" i="2" s="1"/>
  <c r="L121" i="1"/>
  <c r="J90" i="4" s="1"/>
  <c r="F65" i="2" s="1"/>
  <c r="L122" i="1"/>
  <c r="J91" i="4" s="1"/>
  <c r="F66" i="2" s="1"/>
  <c r="L123" i="1"/>
  <c r="J92" i="4" s="1"/>
  <c r="F67" i="2" s="1"/>
  <c r="L124" i="1"/>
  <c r="J93" i="4" s="1"/>
  <c r="F68" i="2" s="1"/>
  <c r="L125" i="1"/>
  <c r="J94" i="4" s="1"/>
  <c r="F69" i="2" s="1"/>
  <c r="L126" i="1"/>
  <c r="J95" i="4" s="1"/>
  <c r="F70" i="2" s="1"/>
  <c r="L127" i="1"/>
  <c r="J96" i="4" s="1"/>
  <c r="F71" i="2" s="1"/>
  <c r="L128" i="1"/>
  <c r="J97" i="4" s="1"/>
  <c r="F72" i="2" s="1"/>
  <c r="L129" i="1"/>
  <c r="J98" i="4"/>
  <c r="F73" i="2" s="1"/>
  <c r="L130" i="1"/>
  <c r="J99" i="4" s="1"/>
  <c r="F74" i="2" s="1"/>
  <c r="L131" i="1"/>
  <c r="J100" i="4" s="1"/>
  <c r="F75" i="2" s="1"/>
  <c r="L132" i="1"/>
  <c r="J101" i="4" s="1"/>
  <c r="F76" i="2" s="1"/>
  <c r="L133" i="1"/>
  <c r="J102" i="4" s="1"/>
  <c r="F77" i="2" s="1"/>
  <c r="H105" i="4"/>
  <c r="C14" i="4"/>
  <c r="C16" i="4"/>
  <c r="C18" i="4"/>
  <c r="C19" i="4"/>
  <c r="C21" i="4"/>
  <c r="C22" i="4"/>
  <c r="F23" i="4"/>
  <c r="G23" i="4"/>
  <c r="F24" i="4"/>
  <c r="I24" i="4"/>
  <c r="C25" i="4"/>
  <c r="D25" i="4"/>
  <c r="E25" i="4"/>
  <c r="F25" i="4"/>
  <c r="G25" i="4"/>
  <c r="I25" i="4"/>
  <c r="E26" i="4"/>
  <c r="C27" i="4"/>
  <c r="G27" i="4"/>
  <c r="I27" i="4"/>
  <c r="D28" i="4"/>
  <c r="I28" i="4"/>
  <c r="C32" i="4"/>
  <c r="C34" i="4"/>
  <c r="C36" i="4"/>
  <c r="G37" i="4"/>
  <c r="C38" i="4"/>
  <c r="D38" i="4"/>
  <c r="E38" i="4"/>
  <c r="F38" i="4"/>
  <c r="G38" i="4"/>
  <c r="I38" i="4"/>
  <c r="C39" i="4"/>
  <c r="C40" i="4"/>
  <c r="D40" i="4"/>
  <c r="F77" i="4"/>
  <c r="J105" i="4"/>
  <c r="D16" i="1"/>
  <c r="D17" i="1"/>
  <c r="D19" i="1"/>
  <c r="D20" i="1"/>
  <c r="D22" i="1"/>
  <c r="D23" i="1"/>
  <c r="C35" i="1"/>
  <c r="E35" i="1"/>
  <c r="G35" i="1"/>
  <c r="I35" i="1"/>
  <c r="K35" i="1"/>
  <c r="C36" i="1"/>
  <c r="E36" i="1"/>
  <c r="G36" i="1"/>
  <c r="I36" i="1"/>
  <c r="K36" i="1"/>
  <c r="C37" i="1"/>
  <c r="G37" i="1"/>
  <c r="I37" i="1"/>
  <c r="K37" i="1"/>
  <c r="C38" i="1"/>
  <c r="G38" i="1"/>
  <c r="I38" i="1"/>
  <c r="K38" i="1"/>
  <c r="C39" i="1"/>
  <c r="E39" i="1"/>
  <c r="G39" i="1"/>
  <c r="I39" i="1"/>
  <c r="K39" i="1"/>
  <c r="C40" i="1"/>
  <c r="E40" i="1"/>
  <c r="G40" i="1"/>
  <c r="I40" i="1"/>
  <c r="K40" i="1"/>
  <c r="C41" i="1"/>
  <c r="E41" i="1"/>
  <c r="G41" i="1"/>
  <c r="I41" i="1"/>
  <c r="K41" i="1"/>
  <c r="C42" i="1"/>
  <c r="G42" i="1"/>
  <c r="I42" i="1"/>
  <c r="K42" i="1"/>
  <c r="C43" i="1"/>
  <c r="E43" i="1"/>
  <c r="G43" i="1"/>
  <c r="I43" i="1"/>
  <c r="K43" i="1"/>
  <c r="C44" i="1"/>
  <c r="D44" i="1"/>
  <c r="E44" i="1" s="1"/>
  <c r="G44" i="1"/>
  <c r="I44" i="1"/>
  <c r="K44" i="1"/>
  <c r="C45" i="1"/>
  <c r="D45" i="1"/>
  <c r="E45" i="1" s="1"/>
  <c r="G45" i="1"/>
  <c r="I45" i="1"/>
  <c r="K45" i="1"/>
  <c r="C46" i="1"/>
  <c r="D46" i="1"/>
  <c r="E46" i="1" s="1"/>
  <c r="G46" i="1"/>
  <c r="I46" i="1"/>
  <c r="K46" i="1"/>
  <c r="C47" i="1"/>
  <c r="D47" i="1"/>
  <c r="E47" i="1" s="1"/>
  <c r="G47" i="1"/>
  <c r="I47" i="1"/>
  <c r="K47" i="1"/>
  <c r="C48" i="1"/>
  <c r="D48" i="1"/>
  <c r="E48" i="1" s="1"/>
  <c r="G48" i="1"/>
  <c r="I48" i="1"/>
  <c r="K48" i="1"/>
  <c r="C49" i="1"/>
  <c r="D49" i="1"/>
  <c r="E49" i="1" s="1"/>
  <c r="G49" i="1"/>
  <c r="I49" i="1"/>
  <c r="K49" i="1"/>
  <c r="C53" i="1"/>
  <c r="G53" i="1"/>
  <c r="I53" i="1"/>
  <c r="K53" i="1"/>
  <c r="C54" i="1"/>
  <c r="G54" i="1"/>
  <c r="I54" i="1"/>
  <c r="K54" i="1"/>
  <c r="C55" i="1"/>
  <c r="G55" i="1"/>
  <c r="I55" i="1"/>
  <c r="K55" i="1"/>
  <c r="C56" i="1"/>
  <c r="E56" i="1"/>
  <c r="G56" i="1"/>
  <c r="I56" i="1"/>
  <c r="K56" i="1"/>
  <c r="C57" i="1"/>
  <c r="G57" i="1"/>
  <c r="I57" i="1"/>
  <c r="K57" i="1"/>
  <c r="C58" i="1"/>
  <c r="D58" i="1"/>
  <c r="E58" i="1" s="1"/>
  <c r="G58" i="1"/>
  <c r="I58" i="1"/>
  <c r="K58" i="1"/>
  <c r="C59" i="1"/>
  <c r="D59" i="1"/>
  <c r="E59" i="1" s="1"/>
  <c r="G59" i="1"/>
  <c r="I59" i="1"/>
  <c r="K59" i="1"/>
  <c r="C60" i="1"/>
  <c r="D60" i="1"/>
  <c r="E60" i="1" s="1"/>
  <c r="G60" i="1"/>
  <c r="I60" i="1"/>
  <c r="K60" i="1"/>
  <c r="C61" i="1"/>
  <c r="D61" i="1"/>
  <c r="E61" i="1" s="1"/>
  <c r="G61" i="1"/>
  <c r="I61" i="1"/>
  <c r="K61" i="1"/>
  <c r="C62" i="1"/>
  <c r="D62" i="1"/>
  <c r="E62" i="1" s="1"/>
  <c r="G62" i="1"/>
  <c r="I62" i="1"/>
  <c r="K62" i="1"/>
  <c r="C80" i="1"/>
  <c r="D80" i="1"/>
  <c r="E80" i="1"/>
  <c r="F80" i="1"/>
  <c r="G80" i="1"/>
  <c r="H80" i="1"/>
  <c r="I80" i="1"/>
  <c r="J80" i="1"/>
  <c r="K80" i="1"/>
  <c r="L80" i="1"/>
  <c r="M80" i="1"/>
  <c r="N80" i="1"/>
  <c r="C82" i="1"/>
  <c r="D82" i="1"/>
  <c r="E82" i="1"/>
  <c r="F82" i="1"/>
  <c r="G82" i="1"/>
  <c r="H82" i="1"/>
  <c r="I82" i="1"/>
  <c r="J82" i="1"/>
  <c r="K82" i="1"/>
  <c r="L82" i="1"/>
  <c r="M82" i="1"/>
  <c r="N82" i="1"/>
  <c r="C83" i="1"/>
  <c r="D83" i="1"/>
  <c r="E83" i="1"/>
  <c r="F83" i="1"/>
  <c r="G83" i="1"/>
  <c r="H83" i="1"/>
  <c r="I83" i="1"/>
  <c r="J83" i="1"/>
  <c r="K83" i="1"/>
  <c r="L83" i="1"/>
  <c r="M83" i="1"/>
  <c r="N83" i="1"/>
  <c r="C84" i="1"/>
  <c r="D84" i="1"/>
  <c r="E84" i="1"/>
  <c r="F84" i="1"/>
  <c r="G84" i="1"/>
  <c r="H84" i="1"/>
  <c r="I84" i="1"/>
  <c r="J84" i="1"/>
  <c r="K84" i="1"/>
  <c r="L84" i="1"/>
  <c r="M84" i="1"/>
  <c r="N84" i="1"/>
  <c r="F87" i="1"/>
  <c r="E19" i="2"/>
  <c r="F36" i="4"/>
  <c r="F35" i="4"/>
  <c r="F34" i="4"/>
  <c r="E36" i="4"/>
  <c r="B109" i="2"/>
  <c r="D89" i="1"/>
  <c r="H46" i="4"/>
  <c r="E16" i="4"/>
  <c r="D16" i="4"/>
  <c r="H6" i="4"/>
  <c r="G17" i="2" s="1"/>
  <c r="E22" i="4"/>
  <c r="D22" i="4"/>
  <c r="G21" i="4"/>
  <c r="E21" i="4"/>
  <c r="D21" i="4"/>
  <c r="D19" i="4"/>
  <c r="E19" i="4"/>
  <c r="E15" i="4" l="1"/>
  <c r="F15" i="4"/>
  <c r="I40" i="4"/>
  <c r="F39" i="4"/>
  <c r="D27" i="4"/>
  <c r="I23" i="4"/>
  <c r="C23" i="4"/>
  <c r="D9" i="4"/>
  <c r="C20" i="2" s="1"/>
  <c r="E39" i="4"/>
  <c r="G39" i="4"/>
  <c r="C35" i="4"/>
  <c r="F27" i="4"/>
  <c r="H27" i="4" s="1"/>
  <c r="D23" i="4"/>
  <c r="H38" i="4"/>
  <c r="D39" i="6"/>
  <c r="C17" i="2"/>
  <c r="D29" i="6"/>
  <c r="M69" i="1" s="1"/>
  <c r="D21" i="6"/>
  <c r="D4" i="4" s="1"/>
  <c r="D13" i="4" s="1"/>
  <c r="F88" i="1"/>
  <c r="H45" i="4"/>
  <c r="D8" i="6"/>
  <c r="D24" i="6"/>
  <c r="H69" i="1" s="1"/>
  <c r="D10" i="6"/>
  <c r="D22" i="6"/>
  <c r="O80" i="1"/>
  <c r="D34" i="6"/>
  <c r="D16" i="6"/>
  <c r="D27" i="6"/>
  <c r="K69" i="1" s="1"/>
  <c r="D40" i="6"/>
  <c r="D32" i="6"/>
  <c r="D38" i="6"/>
  <c r="E69" i="1"/>
  <c r="D31" i="6"/>
  <c r="D15" i="6"/>
  <c r="D14" i="6"/>
  <c r="F69" i="1"/>
  <c r="D35" i="6"/>
  <c r="D19" i="6"/>
  <c r="C69" i="1" s="1"/>
  <c r="D42" i="6"/>
  <c r="D23" i="6"/>
  <c r="G69" i="1" s="1"/>
  <c r="D17" i="6"/>
  <c r="D30" i="6"/>
  <c r="N69" i="1" s="1"/>
  <c r="E80" i="2" s="1"/>
  <c r="D28" i="6"/>
  <c r="L69" i="1" s="1"/>
  <c r="D13" i="6"/>
  <c r="D20" i="6"/>
  <c r="D69" i="1" s="1"/>
  <c r="D9" i="6"/>
  <c r="H25" i="4"/>
  <c r="H39" i="4"/>
  <c r="G22" i="4"/>
  <c r="E4" i="4"/>
  <c r="E13" i="4" s="1"/>
  <c r="D7" i="6"/>
  <c r="D36" i="6"/>
  <c r="D41" i="6"/>
  <c r="D12" i="6"/>
  <c r="D18" i="6"/>
  <c r="D33" i="6"/>
  <c r="D37" i="6"/>
  <c r="D25" i="6"/>
  <c r="I69" i="1" s="1"/>
  <c r="D26" i="6"/>
  <c r="J69" i="1" s="1"/>
  <c r="D11" i="6"/>
  <c r="E32" i="4"/>
  <c r="G32" i="4"/>
  <c r="F89" i="1"/>
  <c r="C26" i="4"/>
  <c r="G26" i="4"/>
  <c r="D19" i="2"/>
  <c r="E35" i="4"/>
  <c r="E9" i="4"/>
  <c r="D20" i="2" s="1"/>
  <c r="I17" i="4"/>
  <c r="D17" i="4" s="1"/>
  <c r="C17" i="4"/>
  <c r="G17" i="4"/>
  <c r="D41" i="4"/>
  <c r="I41" i="4"/>
  <c r="D37" i="4"/>
  <c r="I37" i="4"/>
  <c r="D33" i="4"/>
  <c r="D32" i="4"/>
  <c r="H7" i="4"/>
  <c r="G18" i="2" s="1"/>
  <c r="E34" i="4"/>
  <c r="G35" i="4"/>
  <c r="D36" i="4"/>
  <c r="F33" i="4"/>
  <c r="G41" i="4"/>
  <c r="F37" i="4"/>
  <c r="D26" i="4"/>
  <c r="I18" i="4"/>
  <c r="E18" i="4" s="1"/>
  <c r="D15" i="4"/>
  <c r="F9" i="4"/>
  <c r="E20" i="2" s="1"/>
  <c r="F16" i="4"/>
  <c r="F21" i="4"/>
  <c r="H21" i="4" s="1"/>
  <c r="F19" i="4"/>
  <c r="G36" i="4"/>
  <c r="F32" i="4"/>
  <c r="I26" i="4"/>
  <c r="E16" i="2"/>
  <c r="B11" i="2"/>
  <c r="C28" i="4"/>
  <c r="G28" i="4"/>
  <c r="C24" i="4"/>
  <c r="G24" i="4"/>
  <c r="G19" i="4"/>
  <c r="G15" i="4"/>
  <c r="E33" i="4"/>
  <c r="F41" i="4"/>
  <c r="G40" i="4"/>
  <c r="E37" i="4"/>
  <c r="F17" i="4"/>
  <c r="F22" i="4"/>
  <c r="D35" i="4"/>
  <c r="G16" i="4"/>
  <c r="D34" i="4"/>
  <c r="G34" i="4"/>
  <c r="G33" i="4"/>
  <c r="H8" i="4"/>
  <c r="G19" i="2" s="1"/>
  <c r="E41" i="4"/>
  <c r="E40" i="4"/>
  <c r="C37" i="4"/>
  <c r="C33" i="4"/>
  <c r="E28" i="4"/>
  <c r="F26" i="4"/>
  <c r="D24" i="4"/>
  <c r="H23" i="4"/>
  <c r="C15" i="4"/>
  <c r="F17" i="2"/>
  <c r="I20" i="4"/>
  <c r="F20" i="4" s="1"/>
  <c r="I39" i="4"/>
  <c r="I109" i="1"/>
  <c r="C109" i="1"/>
  <c r="E109" i="1"/>
  <c r="B49" i="4"/>
  <c r="K109" i="1"/>
  <c r="G109" i="1"/>
  <c r="B114" i="1"/>
  <c r="A116" i="1"/>
  <c r="B115" i="1"/>
  <c r="B110" i="1"/>
  <c r="B113" i="1"/>
  <c r="B111" i="1"/>
  <c r="B112" i="1"/>
  <c r="G14" i="4"/>
  <c r="F14" i="4"/>
  <c r="E14" i="4"/>
  <c r="D14" i="4"/>
  <c r="H22" i="4" l="1"/>
  <c r="G4" i="4"/>
  <c r="G13" i="4" s="1"/>
  <c r="H40" i="4"/>
  <c r="C87" i="1"/>
  <c r="D87" i="1" s="1"/>
  <c r="C88" i="1"/>
  <c r="D88" i="1" s="1"/>
  <c r="F4" i="4"/>
  <c r="H89" i="1"/>
  <c r="B9" i="2" s="1"/>
  <c r="A3" i="4"/>
  <c r="C4" i="2"/>
  <c r="E48" i="4"/>
  <c r="D18" i="4"/>
  <c r="H24" i="4"/>
  <c r="E17" i="4"/>
  <c r="G20" i="4"/>
  <c r="H28" i="4"/>
  <c r="F18" i="4"/>
  <c r="G18" i="4"/>
  <c r="H33" i="4"/>
  <c r="D31" i="4"/>
  <c r="H19" i="4"/>
  <c r="H16" i="4"/>
  <c r="H15" i="4"/>
  <c r="D48" i="4"/>
  <c r="C15" i="2"/>
  <c r="C23" i="2" s="1"/>
  <c r="D15" i="2"/>
  <c r="D23" i="2" s="1"/>
  <c r="E31" i="4"/>
  <c r="H37" i="4"/>
  <c r="H41" i="4"/>
  <c r="E20" i="4"/>
  <c r="D20" i="4"/>
  <c r="H35" i="4"/>
  <c r="H9" i="4"/>
  <c r="G20" i="2" s="1"/>
  <c r="H34" i="4"/>
  <c r="H26" i="4"/>
  <c r="H36" i="4"/>
  <c r="H32" i="4"/>
  <c r="H17" i="4"/>
  <c r="C111" i="1"/>
  <c r="B51" i="4"/>
  <c r="I111" i="1"/>
  <c r="G111" i="1"/>
  <c r="K111" i="1"/>
  <c r="E111" i="1"/>
  <c r="B50" i="4"/>
  <c r="C110" i="1"/>
  <c r="I110" i="1"/>
  <c r="E110" i="1"/>
  <c r="K110" i="1"/>
  <c r="G110" i="1"/>
  <c r="A117" i="1"/>
  <c r="B116" i="1"/>
  <c r="D49" i="4"/>
  <c r="B78" i="4"/>
  <c r="B24" i="2"/>
  <c r="C49" i="4"/>
  <c r="E49" i="4"/>
  <c r="D24" i="2" s="1"/>
  <c r="B53" i="2"/>
  <c r="B136" i="4"/>
  <c r="G49" i="4"/>
  <c r="F24" i="2" s="1"/>
  <c r="B82" i="2"/>
  <c r="F49" i="4"/>
  <c r="E24" i="2" s="1"/>
  <c r="B107" i="4"/>
  <c r="H14" i="4"/>
  <c r="I112" i="1"/>
  <c r="K112" i="1"/>
  <c r="C112" i="1"/>
  <c r="E112" i="1"/>
  <c r="G112" i="1"/>
  <c r="B52" i="4"/>
  <c r="C113" i="1"/>
  <c r="G113" i="1"/>
  <c r="K113" i="1"/>
  <c r="B53" i="4"/>
  <c r="E113" i="1"/>
  <c r="I113" i="1"/>
  <c r="K115" i="1"/>
  <c r="C115" i="1"/>
  <c r="G115" i="1"/>
  <c r="I115" i="1"/>
  <c r="E115" i="1"/>
  <c r="B55" i="4"/>
  <c r="G114" i="1"/>
  <c r="I114" i="1"/>
  <c r="B54" i="4"/>
  <c r="C114" i="1"/>
  <c r="E114" i="1"/>
  <c r="K114" i="1"/>
  <c r="G31" i="4" l="1"/>
  <c r="G48" i="4"/>
  <c r="F15" i="2"/>
  <c r="F23" i="2" s="1"/>
  <c r="C89" i="1"/>
  <c r="F31" i="4"/>
  <c r="F13" i="4"/>
  <c r="F48" i="4"/>
  <c r="E15" i="2"/>
  <c r="E23" i="2" s="1"/>
  <c r="H18" i="4"/>
  <c r="H20" i="4"/>
  <c r="B88" i="2"/>
  <c r="B30" i="2"/>
  <c r="B142" i="4"/>
  <c r="B113" i="4"/>
  <c r="B84" i="4"/>
  <c r="F55" i="4"/>
  <c r="E30" i="2" s="1"/>
  <c r="B59" i="2"/>
  <c r="E55" i="4"/>
  <c r="D30" i="2" s="1"/>
  <c r="D55" i="4"/>
  <c r="C55" i="4"/>
  <c r="G55" i="4"/>
  <c r="F30" i="2" s="1"/>
  <c r="B140" i="4"/>
  <c r="B111" i="4"/>
  <c r="B86" i="2"/>
  <c r="B57" i="2"/>
  <c r="C53" i="4"/>
  <c r="B82" i="4"/>
  <c r="G53" i="4"/>
  <c r="F28" i="2" s="1"/>
  <c r="E53" i="4"/>
  <c r="D28" i="2" s="1"/>
  <c r="F53" i="4"/>
  <c r="E28" i="2" s="1"/>
  <c r="D53" i="4"/>
  <c r="B28" i="2"/>
  <c r="C52" i="4"/>
  <c r="B110" i="4"/>
  <c r="B85" i="2"/>
  <c r="B56" i="2"/>
  <c r="B139" i="4"/>
  <c r="F52" i="4"/>
  <c r="E27" i="2" s="1"/>
  <c r="D52" i="4"/>
  <c r="B27" i="2"/>
  <c r="G52" i="4"/>
  <c r="F27" i="2" s="1"/>
  <c r="E52" i="4"/>
  <c r="D27" i="2" s="1"/>
  <c r="B81" i="4"/>
  <c r="C136" i="4"/>
  <c r="C78" i="4"/>
  <c r="C107" i="4"/>
  <c r="O78" i="4"/>
  <c r="H78" i="4" s="1"/>
  <c r="E53" i="2" s="1"/>
  <c r="B56" i="4"/>
  <c r="G116" i="1"/>
  <c r="C116" i="1"/>
  <c r="E116" i="1"/>
  <c r="K116" i="1"/>
  <c r="I116" i="1"/>
  <c r="B138" i="4"/>
  <c r="B84" i="2"/>
  <c r="C51" i="4"/>
  <c r="B26" i="2"/>
  <c r="G51" i="4"/>
  <c r="F26" i="2" s="1"/>
  <c r="D51" i="4"/>
  <c r="E51" i="4"/>
  <c r="D26" i="2" s="1"/>
  <c r="B80" i="4"/>
  <c r="B109" i="4"/>
  <c r="B55" i="2"/>
  <c r="F51" i="4"/>
  <c r="E26" i="2" s="1"/>
  <c r="B58" i="2"/>
  <c r="B83" i="4"/>
  <c r="B87" i="2"/>
  <c r="G54" i="4"/>
  <c r="F29" i="2" s="1"/>
  <c r="B29" i="2"/>
  <c r="B112" i="4"/>
  <c r="F54" i="4"/>
  <c r="E29" i="2" s="1"/>
  <c r="C54" i="4"/>
  <c r="B141" i="4"/>
  <c r="E54" i="4"/>
  <c r="D29" i="2" s="1"/>
  <c r="D54" i="4"/>
  <c r="C24" i="2"/>
  <c r="H49" i="4"/>
  <c r="A118" i="1"/>
  <c r="B117" i="1"/>
  <c r="B54" i="2"/>
  <c r="B108" i="4"/>
  <c r="B79" i="4"/>
  <c r="G50" i="4"/>
  <c r="F25" i="2" s="1"/>
  <c r="E50" i="4"/>
  <c r="D25" i="2" s="1"/>
  <c r="C50" i="4"/>
  <c r="B83" i="2"/>
  <c r="F50" i="4"/>
  <c r="E25" i="2" s="1"/>
  <c r="D50" i="4"/>
  <c r="B137" i="4"/>
  <c r="B25" i="2"/>
  <c r="C79" i="4" l="1"/>
  <c r="C137" i="4"/>
  <c r="C108" i="4"/>
  <c r="G117" i="1"/>
  <c r="C117" i="1"/>
  <c r="B57" i="4"/>
  <c r="I117" i="1"/>
  <c r="K117" i="1"/>
  <c r="E117" i="1"/>
  <c r="D78" i="4"/>
  <c r="C53" i="2"/>
  <c r="G24" i="2"/>
  <c r="C29" i="2"/>
  <c r="H54" i="4"/>
  <c r="O80" i="4"/>
  <c r="H80" i="4" s="1"/>
  <c r="E55" i="2" s="1"/>
  <c r="H51" i="4"/>
  <c r="C26" i="2"/>
  <c r="C111" i="4"/>
  <c r="C82" i="4"/>
  <c r="C140" i="4"/>
  <c r="C84" i="4"/>
  <c r="C113" i="4"/>
  <c r="C142" i="4"/>
  <c r="H50" i="4"/>
  <c r="C25" i="2"/>
  <c r="O79" i="4"/>
  <c r="H79" i="4"/>
  <c r="E54" i="2" s="1"/>
  <c r="A119" i="1"/>
  <c r="B118" i="1"/>
  <c r="C83" i="4"/>
  <c r="C112" i="4"/>
  <c r="C141" i="4"/>
  <c r="O83" i="4"/>
  <c r="H83" i="4" s="1"/>
  <c r="E58" i="2" s="1"/>
  <c r="C80" i="4"/>
  <c r="C109" i="4"/>
  <c r="C138" i="4"/>
  <c r="B143" i="4"/>
  <c r="B31" i="2"/>
  <c r="C56" i="4"/>
  <c r="G56" i="4"/>
  <c r="F31" i="2" s="1"/>
  <c r="E56" i="4"/>
  <c r="D31" i="2" s="1"/>
  <c r="B85" i="4"/>
  <c r="B89" i="2"/>
  <c r="F56" i="4"/>
  <c r="E31" i="2" s="1"/>
  <c r="B114" i="4"/>
  <c r="B60" i="2"/>
  <c r="D56" i="4"/>
  <c r="O81" i="4"/>
  <c r="H81" i="4" s="1"/>
  <c r="E56" i="2" s="1"/>
  <c r="H52" i="4"/>
  <c r="C27" i="2"/>
  <c r="C81" i="4"/>
  <c r="C139" i="4"/>
  <c r="C110" i="4"/>
  <c r="C28" i="2"/>
  <c r="H53" i="4"/>
  <c r="O82" i="4"/>
  <c r="H82" i="4" s="1"/>
  <c r="E57" i="2" s="1"/>
  <c r="C30" i="2"/>
  <c r="H55" i="4"/>
  <c r="O84" i="4"/>
  <c r="H84" i="4" s="1"/>
  <c r="E59" i="2" s="1"/>
  <c r="C59" i="2" l="1"/>
  <c r="D84" i="4"/>
  <c r="G30" i="2"/>
  <c r="C57" i="2"/>
  <c r="G28" i="2"/>
  <c r="D82" i="4"/>
  <c r="G27" i="2"/>
  <c r="D81" i="4"/>
  <c r="C56" i="2"/>
  <c r="O85" i="4"/>
  <c r="H85" i="4" s="1"/>
  <c r="E60" i="2" s="1"/>
  <c r="K118" i="1"/>
  <c r="C118" i="1"/>
  <c r="G118" i="1"/>
  <c r="E118" i="1"/>
  <c r="B58" i="4"/>
  <c r="I118" i="1"/>
  <c r="C58" i="2"/>
  <c r="D83" i="4"/>
  <c r="G29" i="2"/>
  <c r="F78" i="4"/>
  <c r="L78" i="4" s="1"/>
  <c r="M78" i="4" s="1"/>
  <c r="B32" i="2"/>
  <c r="B115" i="4"/>
  <c r="B144" i="4"/>
  <c r="C57" i="4"/>
  <c r="F57" i="4"/>
  <c r="E32" i="2" s="1"/>
  <c r="E57" i="4"/>
  <c r="D32" i="2" s="1"/>
  <c r="B86" i="4"/>
  <c r="D57" i="4"/>
  <c r="B90" i="2"/>
  <c r="G57" i="4"/>
  <c r="F32" i="2" s="1"/>
  <c r="B61" i="2"/>
  <c r="C31" i="2"/>
  <c r="H56" i="4"/>
  <c r="C85" i="4"/>
  <c r="C143" i="4"/>
  <c r="C114" i="4"/>
  <c r="A120" i="1"/>
  <c r="B119" i="1"/>
  <c r="G25" i="2"/>
  <c r="D79" i="4"/>
  <c r="C54" i="2"/>
  <c r="D80" i="4"/>
  <c r="G26" i="2"/>
  <c r="C55" i="2"/>
  <c r="F80" i="4" l="1"/>
  <c r="L80" i="4" s="1"/>
  <c r="M80" i="4" s="1"/>
  <c r="F79" i="4"/>
  <c r="L79" i="4" s="1"/>
  <c r="M79" i="4" s="1"/>
  <c r="A121" i="1"/>
  <c r="B120" i="1"/>
  <c r="C60" i="2"/>
  <c r="G31" i="2"/>
  <c r="D85" i="4"/>
  <c r="O86" i="4"/>
  <c r="H86" i="4" s="1"/>
  <c r="E61" i="2" s="1"/>
  <c r="C58" i="4"/>
  <c r="B87" i="4"/>
  <c r="B145" i="4"/>
  <c r="G58" i="4"/>
  <c r="F33" i="2" s="1"/>
  <c r="E58" i="4"/>
  <c r="D33" i="2" s="1"/>
  <c r="B116" i="4"/>
  <c r="B91" i="2"/>
  <c r="B33" i="2"/>
  <c r="B62" i="2"/>
  <c r="F58" i="4"/>
  <c r="E33" i="2" s="1"/>
  <c r="D58" i="4"/>
  <c r="F81" i="4"/>
  <c r="L81" i="4" s="1"/>
  <c r="M81" i="4" s="1"/>
  <c r="F82" i="4"/>
  <c r="L82" i="4" s="1"/>
  <c r="M82" i="4" s="1"/>
  <c r="F84" i="4"/>
  <c r="C119" i="1"/>
  <c r="E119" i="1"/>
  <c r="G119" i="1"/>
  <c r="K119" i="1"/>
  <c r="B59" i="4"/>
  <c r="I119" i="1"/>
  <c r="H57" i="4"/>
  <c r="C32" i="2"/>
  <c r="C144" i="4"/>
  <c r="C86" i="4"/>
  <c r="C115" i="4"/>
  <c r="D107" i="4"/>
  <c r="G53" i="2"/>
  <c r="G78" i="4"/>
  <c r="I78" i="4"/>
  <c r="K78" i="4" s="1"/>
  <c r="D53" i="2"/>
  <c r="F83" i="4"/>
  <c r="L83" i="4" s="1"/>
  <c r="M83" i="4" s="1"/>
  <c r="G56" i="2" l="1"/>
  <c r="D110" i="4"/>
  <c r="C61" i="2"/>
  <c r="G32" i="2"/>
  <c r="D86" i="4"/>
  <c r="C59" i="4"/>
  <c r="D59" i="4"/>
  <c r="B146" i="4"/>
  <c r="B88" i="4"/>
  <c r="E59" i="4"/>
  <c r="D34" i="2" s="1"/>
  <c r="G59" i="4"/>
  <c r="F34" i="2" s="1"/>
  <c r="B92" i="2"/>
  <c r="B117" i="4"/>
  <c r="F59" i="4"/>
  <c r="E34" i="2" s="1"/>
  <c r="B63" i="2"/>
  <c r="B34" i="2"/>
  <c r="I84" i="4"/>
  <c r="D59" i="2"/>
  <c r="G84" i="4"/>
  <c r="D111" i="4"/>
  <c r="G57" i="2"/>
  <c r="G82" i="4"/>
  <c r="D57" i="2"/>
  <c r="I82" i="4"/>
  <c r="K82" i="4" s="1"/>
  <c r="C33" i="2"/>
  <c r="H58" i="4"/>
  <c r="C87" i="4"/>
  <c r="C145" i="4"/>
  <c r="C116" i="4"/>
  <c r="G120" i="1"/>
  <c r="K120" i="1"/>
  <c r="C120" i="1"/>
  <c r="B60" i="4"/>
  <c r="E120" i="1"/>
  <c r="I120" i="1"/>
  <c r="G54" i="2"/>
  <c r="D108" i="4"/>
  <c r="I79" i="4"/>
  <c r="K79" i="4" s="1"/>
  <c r="D54" i="2"/>
  <c r="G79" i="4"/>
  <c r="D112" i="4"/>
  <c r="G58" i="2"/>
  <c r="I83" i="4"/>
  <c r="K83" i="4" s="1"/>
  <c r="G83" i="4"/>
  <c r="D58" i="2"/>
  <c r="G136" i="4"/>
  <c r="E136" i="4"/>
  <c r="D136" i="4"/>
  <c r="E107" i="4"/>
  <c r="L84" i="4"/>
  <c r="M84" i="4" s="1"/>
  <c r="I81" i="4"/>
  <c r="K81" i="4" s="1"/>
  <c r="G81" i="4"/>
  <c r="D56" i="2"/>
  <c r="O87" i="4"/>
  <c r="H87" i="4" s="1"/>
  <c r="E62" i="2" s="1"/>
  <c r="F85" i="4"/>
  <c r="A122" i="1"/>
  <c r="B121" i="1"/>
  <c r="G55" i="2"/>
  <c r="D109" i="4"/>
  <c r="D55" i="2"/>
  <c r="G80" i="4"/>
  <c r="I80" i="4"/>
  <c r="K80" i="4" s="1"/>
  <c r="G59" i="2" l="1"/>
  <c r="D113" i="4"/>
  <c r="K84" i="4"/>
  <c r="I136" i="4"/>
  <c r="G107" i="4" s="1"/>
  <c r="L136" i="4"/>
  <c r="J136" i="4"/>
  <c r="D141" i="4"/>
  <c r="E141" i="4"/>
  <c r="E112" i="4"/>
  <c r="G141" i="4"/>
  <c r="G137" i="4"/>
  <c r="D137" i="4"/>
  <c r="E108" i="4"/>
  <c r="E137" i="4"/>
  <c r="G33" i="2"/>
  <c r="D87" i="4"/>
  <c r="C62" i="2"/>
  <c r="E146" i="4"/>
  <c r="E117" i="4"/>
  <c r="D146" i="4"/>
  <c r="G146" i="4"/>
  <c r="O88" i="4"/>
  <c r="H88" i="4" s="1"/>
  <c r="E63" i="2" s="1"/>
  <c r="C34" i="2"/>
  <c r="H59" i="4"/>
  <c r="F86" i="4"/>
  <c r="L86" i="4" s="1"/>
  <c r="M86" i="4" s="1"/>
  <c r="E121" i="1"/>
  <c r="C121" i="1"/>
  <c r="G121" i="1"/>
  <c r="K121" i="1"/>
  <c r="I121" i="1"/>
  <c r="B61" i="4"/>
  <c r="G85" i="4"/>
  <c r="D60" i="2"/>
  <c r="I85" i="4"/>
  <c r="E138" i="4"/>
  <c r="D138" i="4"/>
  <c r="E109" i="4"/>
  <c r="G138" i="4"/>
  <c r="A123" i="1"/>
  <c r="B122" i="1"/>
  <c r="L85" i="4"/>
  <c r="M85" i="4" s="1"/>
  <c r="C82" i="2"/>
  <c r="F60" i="4"/>
  <c r="E35" i="2" s="1"/>
  <c r="B89" i="4"/>
  <c r="D60" i="4"/>
  <c r="C60" i="4"/>
  <c r="B147" i="4"/>
  <c r="B118" i="4"/>
  <c r="E60" i="4"/>
  <c r="D35" i="2" s="1"/>
  <c r="B64" i="2"/>
  <c r="B93" i="2"/>
  <c r="B35" i="2"/>
  <c r="G60" i="4"/>
  <c r="F35" i="2" s="1"/>
  <c r="D140" i="4"/>
  <c r="E111" i="4"/>
  <c r="E140" i="4"/>
  <c r="G140" i="4"/>
  <c r="C146" i="4"/>
  <c r="C88" i="4"/>
  <c r="C117" i="4"/>
  <c r="D139" i="4"/>
  <c r="G139" i="4"/>
  <c r="E139" i="4"/>
  <c r="E110" i="4"/>
  <c r="C85" i="2" l="1"/>
  <c r="C86" i="2"/>
  <c r="C84" i="2"/>
  <c r="C92" i="2"/>
  <c r="C83" i="2"/>
  <c r="C87" i="2"/>
  <c r="D82" i="2"/>
  <c r="I107" i="4"/>
  <c r="E82" i="2" s="1"/>
  <c r="I140" i="4"/>
  <c r="G111" i="4" s="1"/>
  <c r="D86" i="2" s="1"/>
  <c r="L140" i="4"/>
  <c r="J140" i="4"/>
  <c r="C35" i="2"/>
  <c r="H60" i="4"/>
  <c r="G60" i="2"/>
  <c r="K85" i="4"/>
  <c r="D114" i="4"/>
  <c r="A124" i="1"/>
  <c r="B123" i="1"/>
  <c r="D61" i="4"/>
  <c r="F61" i="4"/>
  <c r="E36" i="2" s="1"/>
  <c r="B65" i="2"/>
  <c r="B148" i="4"/>
  <c r="B119" i="4"/>
  <c r="G61" i="4"/>
  <c r="F36" i="2" s="1"/>
  <c r="E61" i="4"/>
  <c r="D36" i="2" s="1"/>
  <c r="B94" i="2"/>
  <c r="B90" i="4"/>
  <c r="B36" i="2"/>
  <c r="C61" i="4"/>
  <c r="D115" i="4"/>
  <c r="G61" i="2"/>
  <c r="G86" i="4"/>
  <c r="I86" i="4"/>
  <c r="K86" i="4" s="1"/>
  <c r="D61" i="2"/>
  <c r="F87" i="4"/>
  <c r="L87" i="4" s="1"/>
  <c r="M87" i="4" s="1"/>
  <c r="L141" i="4"/>
  <c r="J141" i="4"/>
  <c r="I141" i="4"/>
  <c r="G112" i="4" s="1"/>
  <c r="D87" i="2" s="1"/>
  <c r="E113" i="4"/>
  <c r="D142" i="4"/>
  <c r="G142" i="4"/>
  <c r="E142" i="4"/>
  <c r="L139" i="4"/>
  <c r="J139" i="4"/>
  <c r="I139" i="4"/>
  <c r="G110" i="4" s="1"/>
  <c r="D85" i="2" s="1"/>
  <c r="G147" i="4"/>
  <c r="E118" i="4"/>
  <c r="D147" i="4"/>
  <c r="E147" i="4"/>
  <c r="C89" i="4"/>
  <c r="C147" i="4"/>
  <c r="C118" i="4"/>
  <c r="O89" i="4"/>
  <c r="H89" i="4" s="1"/>
  <c r="E64" i="2" s="1"/>
  <c r="E122" i="1"/>
  <c r="C122" i="1"/>
  <c r="K122" i="1"/>
  <c r="G122" i="1"/>
  <c r="I122" i="1"/>
  <c r="B62" i="4"/>
  <c r="I138" i="4"/>
  <c r="G109" i="4" s="1"/>
  <c r="D84" i="2" s="1"/>
  <c r="L138" i="4"/>
  <c r="J138" i="4"/>
  <c r="D88" i="4"/>
  <c r="C63" i="2"/>
  <c r="G34" i="2"/>
  <c r="J146" i="4"/>
  <c r="L146" i="4"/>
  <c r="I146" i="4"/>
  <c r="G117" i="4" s="1"/>
  <c r="D92" i="2" s="1"/>
  <c r="J137" i="4"/>
  <c r="I137" i="4"/>
  <c r="G108" i="4" s="1"/>
  <c r="D83" i="2" s="1"/>
  <c r="L137" i="4"/>
  <c r="I112" i="4" l="1"/>
  <c r="E87" i="2" s="1"/>
  <c r="I108" i="4"/>
  <c r="E83" i="2" s="1"/>
  <c r="I117" i="4"/>
  <c r="E92" i="2" s="1"/>
  <c r="I109" i="4"/>
  <c r="E84" i="2" s="1"/>
  <c r="I111" i="4"/>
  <c r="E86" i="2" s="1"/>
  <c r="I110" i="4"/>
  <c r="E85" i="2" s="1"/>
  <c r="C93" i="2"/>
  <c r="C88" i="2"/>
  <c r="F88" i="4"/>
  <c r="L88" i="4" s="1"/>
  <c r="M88" i="4"/>
  <c r="D62" i="4"/>
  <c r="B120" i="4"/>
  <c r="C62" i="4"/>
  <c r="B66" i="2"/>
  <c r="E62" i="4"/>
  <c r="D37" i="2" s="1"/>
  <c r="B95" i="2"/>
  <c r="B91" i="4"/>
  <c r="B149" i="4"/>
  <c r="G62" i="4"/>
  <c r="F37" i="2" s="1"/>
  <c r="B37" i="2"/>
  <c r="F62" i="4"/>
  <c r="E37" i="2" s="1"/>
  <c r="L142" i="4"/>
  <c r="I142" i="4"/>
  <c r="G113" i="4" s="1"/>
  <c r="D88" i="2" s="1"/>
  <c r="J142" i="4"/>
  <c r="E115" i="4"/>
  <c r="G144" i="4"/>
  <c r="D144" i="4"/>
  <c r="E144" i="4"/>
  <c r="C90" i="4"/>
  <c r="C148" i="4"/>
  <c r="C119" i="4"/>
  <c r="O90" i="4"/>
  <c r="H90" i="4" s="1"/>
  <c r="E65" i="2" s="1"/>
  <c r="D148" i="4"/>
  <c r="E148" i="4"/>
  <c r="G148" i="4"/>
  <c r="E119" i="4"/>
  <c r="C36" i="2"/>
  <c r="H61" i="4"/>
  <c r="A125" i="1"/>
  <c r="B124" i="1"/>
  <c r="G35" i="2"/>
  <c r="D89" i="4"/>
  <c r="C64" i="2"/>
  <c r="I147" i="4"/>
  <c r="G118" i="4" s="1"/>
  <c r="D93" i="2" s="1"/>
  <c r="J147" i="4"/>
  <c r="L147" i="4"/>
  <c r="G62" i="2"/>
  <c r="D116" i="4"/>
  <c r="D62" i="2"/>
  <c r="G87" i="4"/>
  <c r="I87" i="4"/>
  <c r="K87" i="4" s="1"/>
  <c r="E123" i="1"/>
  <c r="B63" i="4"/>
  <c r="G123" i="1"/>
  <c r="C123" i="1"/>
  <c r="I123" i="1"/>
  <c r="K123" i="1"/>
  <c r="D143" i="4"/>
  <c r="E114" i="4"/>
  <c r="G143" i="4"/>
  <c r="E143" i="4"/>
  <c r="I113" i="4" l="1"/>
  <c r="E88" i="2" s="1"/>
  <c r="C90" i="2"/>
  <c r="C94" i="2"/>
  <c r="I118" i="4"/>
  <c r="E93" i="2" s="1"/>
  <c r="D117" i="4"/>
  <c r="G63" i="2"/>
  <c r="C89" i="2"/>
  <c r="B150" i="4"/>
  <c r="B96" i="2"/>
  <c r="F63" i="4"/>
  <c r="E38" i="2" s="1"/>
  <c r="B67" i="2"/>
  <c r="B92" i="4"/>
  <c r="C63" i="4"/>
  <c r="G63" i="4"/>
  <c r="F38" i="2" s="1"/>
  <c r="E63" i="4"/>
  <c r="D38" i="2" s="1"/>
  <c r="B121" i="4"/>
  <c r="B38" i="2"/>
  <c r="D63" i="4"/>
  <c r="F89" i="4"/>
  <c r="L89" i="4" s="1"/>
  <c r="M89" i="4"/>
  <c r="K124" i="1"/>
  <c r="B64" i="4"/>
  <c r="G124" i="1"/>
  <c r="E124" i="1"/>
  <c r="C124" i="1"/>
  <c r="I124" i="1"/>
  <c r="C65" i="2"/>
  <c r="D90" i="4"/>
  <c r="G36" i="2"/>
  <c r="O91" i="4"/>
  <c r="H91" i="4" s="1"/>
  <c r="E66" i="2" s="1"/>
  <c r="C91" i="4"/>
  <c r="C149" i="4"/>
  <c r="C120" i="4"/>
  <c r="H62" i="4"/>
  <c r="C37" i="2"/>
  <c r="L143" i="4"/>
  <c r="I143" i="4"/>
  <c r="G114" i="4" s="1"/>
  <c r="D89" i="2" s="1"/>
  <c r="J143" i="4"/>
  <c r="E116" i="4"/>
  <c r="G145" i="4"/>
  <c r="E145" i="4"/>
  <c r="D145" i="4"/>
  <c r="A126" i="1"/>
  <c r="B125" i="1"/>
  <c r="J148" i="4"/>
  <c r="I148" i="4"/>
  <c r="G119" i="4" s="1"/>
  <c r="D94" i="2" s="1"/>
  <c r="L148" i="4"/>
  <c r="J144" i="4"/>
  <c r="L144" i="4"/>
  <c r="I144" i="4"/>
  <c r="G115" i="4" s="1"/>
  <c r="D90" i="2" s="1"/>
  <c r="D149" i="4"/>
  <c r="E149" i="4"/>
  <c r="E120" i="4"/>
  <c r="G149" i="4"/>
  <c r="G88" i="4"/>
  <c r="I88" i="4"/>
  <c r="K88" i="4" s="1"/>
  <c r="D63" i="2"/>
  <c r="C95" i="2" l="1"/>
  <c r="C91" i="2"/>
  <c r="I119" i="4"/>
  <c r="E94" i="2" s="1"/>
  <c r="I115" i="4"/>
  <c r="E90" i="2" s="1"/>
  <c r="I114" i="4"/>
  <c r="E89" i="2" s="1"/>
  <c r="J149" i="4"/>
  <c r="I149" i="4"/>
  <c r="G120" i="4" s="1"/>
  <c r="D95" i="2" s="1"/>
  <c r="L149" i="4"/>
  <c r="A127" i="1"/>
  <c r="B126" i="1"/>
  <c r="C38" i="2"/>
  <c r="H63" i="4"/>
  <c r="E121" i="4"/>
  <c r="D150" i="4"/>
  <c r="G150" i="4"/>
  <c r="E150" i="4"/>
  <c r="O92" i="4"/>
  <c r="H92" i="4" s="1"/>
  <c r="E67" i="2" s="1"/>
  <c r="K125" i="1"/>
  <c r="E125" i="1"/>
  <c r="C125" i="1"/>
  <c r="B65" i="4"/>
  <c r="I125" i="1"/>
  <c r="G125" i="1"/>
  <c r="I145" i="4"/>
  <c r="G116" i="4" s="1"/>
  <c r="D91" i="2" s="1"/>
  <c r="J145" i="4"/>
  <c r="L145" i="4"/>
  <c r="C66" i="2"/>
  <c r="D91" i="4"/>
  <c r="G37" i="2"/>
  <c r="M90" i="4"/>
  <c r="F90" i="4"/>
  <c r="B151" i="4"/>
  <c r="C64" i="4"/>
  <c r="B93" i="4"/>
  <c r="D64" i="4"/>
  <c r="B68" i="2"/>
  <c r="F64" i="4"/>
  <c r="E39" i="2" s="1"/>
  <c r="G64" i="4"/>
  <c r="F39" i="2" s="1"/>
  <c r="B39" i="2"/>
  <c r="B97" i="2"/>
  <c r="E64" i="4"/>
  <c r="D39" i="2" s="1"/>
  <c r="B122" i="4"/>
  <c r="D118" i="4"/>
  <c r="G64" i="2"/>
  <c r="D64" i="2"/>
  <c r="I89" i="4"/>
  <c r="K89" i="4" s="1"/>
  <c r="G89" i="4"/>
  <c r="C150" i="4"/>
  <c r="C121" i="4"/>
  <c r="C92" i="4"/>
  <c r="C96" i="2" l="1"/>
  <c r="I116" i="4"/>
  <c r="E91" i="2" s="1"/>
  <c r="I120" i="4"/>
  <c r="E95" i="2" s="1"/>
  <c r="C39" i="2"/>
  <c r="H64" i="4"/>
  <c r="C67" i="2"/>
  <c r="G38" i="2"/>
  <c r="D92" i="4"/>
  <c r="I126" i="1"/>
  <c r="K126" i="1"/>
  <c r="G126" i="1"/>
  <c r="C126" i="1"/>
  <c r="B66" i="4"/>
  <c r="E126" i="1"/>
  <c r="C93" i="4"/>
  <c r="C151" i="4"/>
  <c r="C122" i="4"/>
  <c r="D65" i="2"/>
  <c r="I90" i="4"/>
  <c r="G90" i="4"/>
  <c r="M91" i="4"/>
  <c r="F91" i="4"/>
  <c r="L91" i="4" s="1"/>
  <c r="C65" i="4"/>
  <c r="B69" i="2"/>
  <c r="B98" i="2"/>
  <c r="E65" i="4"/>
  <c r="D40" i="2" s="1"/>
  <c r="B40" i="2"/>
  <c r="B94" i="4"/>
  <c r="G65" i="4"/>
  <c r="F40" i="2" s="1"/>
  <c r="B152" i="4"/>
  <c r="B123" i="4"/>
  <c r="F65" i="4"/>
  <c r="E40" i="2" s="1"/>
  <c r="D65" i="4"/>
  <c r="G151" i="4"/>
  <c r="E122" i="4"/>
  <c r="E151" i="4"/>
  <c r="D151" i="4"/>
  <c r="O93" i="4"/>
  <c r="H93" i="4" s="1"/>
  <c r="E68" i="2" s="1"/>
  <c r="L90" i="4"/>
  <c r="J150" i="4"/>
  <c r="L150" i="4"/>
  <c r="I150" i="4"/>
  <c r="G121" i="4" s="1"/>
  <c r="D96" i="2" s="1"/>
  <c r="B127" i="1"/>
  <c r="A128" i="1"/>
  <c r="I121" i="4" l="1"/>
  <c r="E96" i="2" s="1"/>
  <c r="E127" i="1"/>
  <c r="G127" i="1"/>
  <c r="K127" i="1"/>
  <c r="C127" i="1"/>
  <c r="B67" i="4"/>
  <c r="I127" i="1"/>
  <c r="G65" i="2"/>
  <c r="D119" i="4"/>
  <c r="K90" i="4"/>
  <c r="I151" i="4"/>
  <c r="G122" i="4" s="1"/>
  <c r="D97" i="2" s="1"/>
  <c r="J151" i="4"/>
  <c r="L151" i="4"/>
  <c r="G66" i="2"/>
  <c r="D120" i="4"/>
  <c r="C66" i="4"/>
  <c r="D66" i="4"/>
  <c r="B153" i="4"/>
  <c r="G66" i="4"/>
  <c r="F41" i="2" s="1"/>
  <c r="B99" i="2"/>
  <c r="B95" i="4"/>
  <c r="B41" i="2"/>
  <c r="E66" i="4"/>
  <c r="D41" i="2" s="1"/>
  <c r="B124" i="4"/>
  <c r="B70" i="2"/>
  <c r="F66" i="4"/>
  <c r="E41" i="2" s="1"/>
  <c r="G39" i="2"/>
  <c r="C68" i="2"/>
  <c r="D93" i="4"/>
  <c r="O94" i="4"/>
  <c r="H94" i="4" s="1"/>
  <c r="E69" i="2" s="1"/>
  <c r="A129" i="1"/>
  <c r="B128" i="1"/>
  <c r="C97" i="2"/>
  <c r="H65" i="4"/>
  <c r="C40" i="2"/>
  <c r="D152" i="4"/>
  <c r="G152" i="4"/>
  <c r="E152" i="4"/>
  <c r="E123" i="4"/>
  <c r="C123" i="4"/>
  <c r="C94" i="4"/>
  <c r="C152" i="4"/>
  <c r="G91" i="4"/>
  <c r="D66" i="2"/>
  <c r="I91" i="4"/>
  <c r="K91" i="4" s="1"/>
  <c r="F92" i="4"/>
  <c r="L92" i="4" s="1"/>
  <c r="M92" i="4"/>
  <c r="C98" i="2" l="1"/>
  <c r="I122" i="4"/>
  <c r="E97" i="2" s="1"/>
  <c r="G67" i="2"/>
  <c r="D121" i="4"/>
  <c r="E124" i="4"/>
  <c r="D153" i="4"/>
  <c r="E153" i="4"/>
  <c r="G153" i="4"/>
  <c r="C95" i="4"/>
  <c r="C153" i="4"/>
  <c r="C124" i="4"/>
  <c r="D67" i="2"/>
  <c r="G92" i="4"/>
  <c r="I92" i="4"/>
  <c r="K92" i="4" s="1"/>
  <c r="C69" i="2"/>
  <c r="G40" i="2"/>
  <c r="D94" i="4"/>
  <c r="A130" i="1"/>
  <c r="B129" i="1"/>
  <c r="I152" i="4"/>
  <c r="G123" i="4" s="1"/>
  <c r="D98" i="2" s="1"/>
  <c r="J152" i="4"/>
  <c r="L152" i="4"/>
  <c r="I128" i="1"/>
  <c r="C128" i="1"/>
  <c r="G128" i="1"/>
  <c r="B68" i="4"/>
  <c r="E128" i="1"/>
  <c r="K128" i="1"/>
  <c r="M93" i="4"/>
  <c r="F93" i="4"/>
  <c r="O95" i="4"/>
  <c r="H95" i="4" s="1"/>
  <c r="E70" i="2" s="1"/>
  <c r="C41" i="2"/>
  <c r="H66" i="4"/>
  <c r="B96" i="4"/>
  <c r="B125" i="4"/>
  <c r="B42" i="2"/>
  <c r="B71" i="2"/>
  <c r="B154" i="4"/>
  <c r="E67" i="4"/>
  <c r="D42" i="2" s="1"/>
  <c r="C67" i="4"/>
  <c r="D67" i="4"/>
  <c r="G67" i="4"/>
  <c r="F42" i="2" s="1"/>
  <c r="B100" i="2"/>
  <c r="F67" i="4"/>
  <c r="E42" i="2" s="1"/>
  <c r="C99" i="2" l="1"/>
  <c r="I123" i="4"/>
  <c r="E98" i="2" s="1"/>
  <c r="C70" i="2"/>
  <c r="G41" i="2"/>
  <c r="D95" i="4"/>
  <c r="D68" i="2"/>
  <c r="G93" i="4"/>
  <c r="I93" i="4"/>
  <c r="L93" i="4"/>
  <c r="G129" i="1"/>
  <c r="K129" i="1"/>
  <c r="B69" i="4"/>
  <c r="C129" i="1"/>
  <c r="I129" i="1"/>
  <c r="E129" i="1"/>
  <c r="F94" i="4"/>
  <c r="M94" i="4"/>
  <c r="C42" i="2"/>
  <c r="H67" i="4"/>
  <c r="D154" i="4"/>
  <c r="G154" i="4"/>
  <c r="E154" i="4"/>
  <c r="E125" i="4"/>
  <c r="C96" i="4"/>
  <c r="C154" i="4"/>
  <c r="C125" i="4"/>
  <c r="O96" i="4"/>
  <c r="H96" i="4" s="1"/>
  <c r="E71" i="2" s="1"/>
  <c r="D68" i="4"/>
  <c r="F68" i="4"/>
  <c r="E43" i="2" s="1"/>
  <c r="B97" i="4"/>
  <c r="E68" i="4"/>
  <c r="D43" i="2" s="1"/>
  <c r="G68" i="4"/>
  <c r="F43" i="2" s="1"/>
  <c r="B101" i="2"/>
  <c r="B126" i="4"/>
  <c r="C68" i="4"/>
  <c r="B72" i="2"/>
  <c r="B43" i="2"/>
  <c r="B155" i="4"/>
  <c r="A131" i="1"/>
  <c r="B130" i="1"/>
  <c r="J153" i="4"/>
  <c r="I153" i="4"/>
  <c r="G124" i="4" s="1"/>
  <c r="D99" i="2" s="1"/>
  <c r="L153" i="4"/>
  <c r="C100" i="2" l="1"/>
  <c r="I124" i="4"/>
  <c r="E99" i="2" s="1"/>
  <c r="I154" i="4"/>
  <c r="G125" i="4" s="1"/>
  <c r="D100" i="2" s="1"/>
  <c r="L154" i="4"/>
  <c r="J154" i="4"/>
  <c r="C71" i="2"/>
  <c r="G42" i="2"/>
  <c r="D96" i="4"/>
  <c r="I94" i="4"/>
  <c r="D69" i="2"/>
  <c r="G94" i="4"/>
  <c r="B127" i="4"/>
  <c r="B73" i="2"/>
  <c r="E69" i="4"/>
  <c r="D44" i="2" s="1"/>
  <c r="B156" i="4"/>
  <c r="C69" i="4"/>
  <c r="F69" i="4"/>
  <c r="E44" i="2" s="1"/>
  <c r="D69" i="4"/>
  <c r="G69" i="4"/>
  <c r="F44" i="2" s="1"/>
  <c r="B102" i="2"/>
  <c r="B98" i="4"/>
  <c r="B44" i="2"/>
  <c r="B70" i="4"/>
  <c r="I130" i="1"/>
  <c r="C130" i="1"/>
  <c r="K130" i="1"/>
  <c r="G130" i="1"/>
  <c r="E130" i="1"/>
  <c r="E126" i="4"/>
  <c r="E155" i="4"/>
  <c r="D155" i="4"/>
  <c r="G155" i="4"/>
  <c r="O97" i="4"/>
  <c r="H97" i="4" s="1"/>
  <c r="E72" i="2" s="1"/>
  <c r="C43" i="2"/>
  <c r="H68" i="4"/>
  <c r="A132" i="1"/>
  <c r="B131" i="1"/>
  <c r="C155" i="4"/>
  <c r="C97" i="4"/>
  <c r="C126" i="4"/>
  <c r="L94" i="4"/>
  <c r="K93" i="4"/>
  <c r="G68" i="2"/>
  <c r="D122" i="4"/>
  <c r="M95" i="4"/>
  <c r="F95" i="4"/>
  <c r="C101" i="2" l="1"/>
  <c r="I125" i="4"/>
  <c r="E100" i="2" s="1"/>
  <c r="G95" i="4"/>
  <c r="I95" i="4"/>
  <c r="D70" i="2"/>
  <c r="G69" i="2"/>
  <c r="D123" i="4"/>
  <c r="K94" i="4"/>
  <c r="I131" i="1"/>
  <c r="K131" i="1"/>
  <c r="G131" i="1"/>
  <c r="C131" i="1"/>
  <c r="E131" i="1"/>
  <c r="B71" i="4"/>
  <c r="D97" i="4"/>
  <c r="G43" i="2"/>
  <c r="C72" i="2"/>
  <c r="I155" i="4"/>
  <c r="G126" i="4" s="1"/>
  <c r="D101" i="2" s="1"/>
  <c r="L155" i="4"/>
  <c r="J155" i="4"/>
  <c r="C44" i="2"/>
  <c r="H69" i="4"/>
  <c r="C127" i="4"/>
  <c r="C98" i="4"/>
  <c r="C156" i="4"/>
  <c r="E127" i="4"/>
  <c r="G156" i="4"/>
  <c r="D156" i="4"/>
  <c r="E156" i="4"/>
  <c r="M96" i="4"/>
  <c r="F96" i="4"/>
  <c r="L96" i="4" s="1"/>
  <c r="L95" i="4"/>
  <c r="A133" i="1"/>
  <c r="B133" i="1" s="1"/>
  <c r="B132" i="1"/>
  <c r="B157" i="4"/>
  <c r="E70" i="4"/>
  <c r="D45" i="2" s="1"/>
  <c r="C70" i="4"/>
  <c r="B128" i="4"/>
  <c r="B74" i="2"/>
  <c r="F70" i="4"/>
  <c r="E45" i="2" s="1"/>
  <c r="B45" i="2"/>
  <c r="B99" i="4"/>
  <c r="D70" i="4"/>
  <c r="G70" i="4"/>
  <c r="F45" i="2" s="1"/>
  <c r="B103" i="2"/>
  <c r="O98" i="4"/>
  <c r="H98" i="4" s="1"/>
  <c r="E73" i="2" s="1"/>
  <c r="I126" i="4" l="1"/>
  <c r="E101" i="2" s="1"/>
  <c r="C102" i="2"/>
  <c r="C157" i="4"/>
  <c r="C99" i="4"/>
  <c r="C128" i="4"/>
  <c r="G133" i="1"/>
  <c r="I133" i="1"/>
  <c r="K133" i="1"/>
  <c r="C133" i="1"/>
  <c r="E133" i="1"/>
  <c r="B73" i="4"/>
  <c r="D125" i="4"/>
  <c r="G71" i="2"/>
  <c r="C73" i="2"/>
  <c r="G44" i="2"/>
  <c r="D98" i="4"/>
  <c r="B100" i="4"/>
  <c r="B129" i="4"/>
  <c r="B75" i="2"/>
  <c r="D71" i="4"/>
  <c r="G71" i="4"/>
  <c r="F46" i="2" s="1"/>
  <c r="B46" i="2"/>
  <c r="B104" i="2"/>
  <c r="C71" i="4"/>
  <c r="F71" i="4"/>
  <c r="E46" i="2" s="1"/>
  <c r="E71" i="4"/>
  <c r="D46" i="2" s="1"/>
  <c r="B158" i="4"/>
  <c r="C45" i="2"/>
  <c r="H70" i="4"/>
  <c r="O99" i="4"/>
  <c r="H99" i="4" s="1"/>
  <c r="E74" i="2" s="1"/>
  <c r="E128" i="4"/>
  <c r="G157" i="4"/>
  <c r="D157" i="4"/>
  <c r="E157" i="4"/>
  <c r="C132" i="1"/>
  <c r="I132" i="1"/>
  <c r="G132" i="1"/>
  <c r="E132" i="1"/>
  <c r="B72" i="4"/>
  <c r="K132" i="1"/>
  <c r="D124" i="4"/>
  <c r="G70" i="2"/>
  <c r="K95" i="4"/>
  <c r="G96" i="4"/>
  <c r="I96" i="4"/>
  <c r="K96" i="4" s="1"/>
  <c r="D71" i="2"/>
  <c r="J156" i="4"/>
  <c r="L156" i="4"/>
  <c r="I156" i="4"/>
  <c r="G127" i="4" s="1"/>
  <c r="D102" i="2" s="1"/>
  <c r="M97" i="4"/>
  <c r="F97" i="4"/>
  <c r="C103" i="2" l="1"/>
  <c r="I127" i="4"/>
  <c r="E102" i="2" s="1"/>
  <c r="B76" i="2"/>
  <c r="B101" i="4"/>
  <c r="B47" i="2"/>
  <c r="D72" i="4"/>
  <c r="E72" i="4"/>
  <c r="D47" i="2" s="1"/>
  <c r="G72" i="4"/>
  <c r="F47" i="2" s="1"/>
  <c r="C72" i="4"/>
  <c r="B130" i="4"/>
  <c r="F72" i="4"/>
  <c r="E47" i="2" s="1"/>
  <c r="B159" i="4"/>
  <c r="B105" i="2"/>
  <c r="C158" i="4"/>
  <c r="C129" i="4"/>
  <c r="C100" i="4"/>
  <c r="H71" i="4"/>
  <c r="C46" i="2"/>
  <c r="F98" i="4"/>
  <c r="L98" i="4" s="1"/>
  <c r="M98" i="4"/>
  <c r="D73" i="4"/>
  <c r="G73" i="4"/>
  <c r="F48" i="2" s="1"/>
  <c r="F73" i="4"/>
  <c r="E48" i="2" s="1"/>
  <c r="B77" i="2"/>
  <c r="C73" i="4"/>
  <c r="B106" i="2"/>
  <c r="B131" i="4"/>
  <c r="B48" i="2"/>
  <c r="B160" i="4"/>
  <c r="E73" i="4"/>
  <c r="D48" i="2" s="1"/>
  <c r="B102" i="4"/>
  <c r="G97" i="4"/>
  <c r="I97" i="4"/>
  <c r="D72" i="2"/>
  <c r="L97" i="4"/>
  <c r="J157" i="4"/>
  <c r="L157" i="4"/>
  <c r="I157" i="4"/>
  <c r="G128" i="4" s="1"/>
  <c r="D103" i="2" s="1"/>
  <c r="G45" i="2"/>
  <c r="D99" i="4"/>
  <c r="C74" i="2"/>
  <c r="O100" i="4"/>
  <c r="H100" i="4" s="1"/>
  <c r="E75" i="2" s="1"/>
  <c r="E129" i="4"/>
  <c r="G158" i="4"/>
  <c r="E158" i="4"/>
  <c r="D158" i="4"/>
  <c r="C104" i="2" l="1"/>
  <c r="I128" i="4"/>
  <c r="E103" i="2" s="1"/>
  <c r="G73" i="2"/>
  <c r="D127" i="4"/>
  <c r="L158" i="4"/>
  <c r="I158" i="4"/>
  <c r="G129" i="4" s="1"/>
  <c r="D104" i="2" s="1"/>
  <c r="J158" i="4"/>
  <c r="G72" i="2"/>
  <c r="K97" i="4"/>
  <c r="D126" i="4"/>
  <c r="O102" i="4"/>
  <c r="H102" i="4" s="1"/>
  <c r="E77" i="2" s="1"/>
  <c r="G160" i="4"/>
  <c r="D160" i="4"/>
  <c r="E160" i="4"/>
  <c r="E131" i="4"/>
  <c r="C160" i="4"/>
  <c r="C102" i="4"/>
  <c r="C131" i="4"/>
  <c r="H73" i="4"/>
  <c r="C48" i="2"/>
  <c r="E159" i="4"/>
  <c r="D159" i="4"/>
  <c r="E130" i="4"/>
  <c r="G159" i="4"/>
  <c r="H72" i="4"/>
  <c r="C47" i="2"/>
  <c r="O101" i="4"/>
  <c r="H101" i="4" s="1"/>
  <c r="E76" i="2" s="1"/>
  <c r="F99" i="4"/>
  <c r="L99" i="4" s="1"/>
  <c r="M99" i="4"/>
  <c r="I98" i="4"/>
  <c r="K98" i="4" s="1"/>
  <c r="G98" i="4"/>
  <c r="D73" i="2"/>
  <c r="C75" i="2"/>
  <c r="D100" i="4"/>
  <c r="G46" i="2"/>
  <c r="C130" i="4"/>
  <c r="C159" i="4"/>
  <c r="C101" i="4"/>
  <c r="C105" i="2" l="1"/>
  <c r="I129" i="4"/>
  <c r="E104" i="2" s="1"/>
  <c r="E161" i="4"/>
  <c r="M100" i="4"/>
  <c r="F100" i="4"/>
  <c r="L100" i="4" s="1"/>
  <c r="I159" i="4"/>
  <c r="G130" i="4" s="1"/>
  <c r="D105" i="2" s="1"/>
  <c r="L159" i="4"/>
  <c r="J159" i="4"/>
  <c r="J160" i="4"/>
  <c r="L160" i="4"/>
  <c r="I160" i="4"/>
  <c r="G131" i="4" s="1"/>
  <c r="G161" i="4"/>
  <c r="D128" i="4"/>
  <c r="G74" i="2"/>
  <c r="I99" i="4"/>
  <c r="K99" i="4" s="1"/>
  <c r="G99" i="4"/>
  <c r="D74" i="2"/>
  <c r="C76" i="2"/>
  <c r="D101" i="4"/>
  <c r="G47" i="2"/>
  <c r="C77" i="2"/>
  <c r="D102" i="4"/>
  <c r="G48" i="2"/>
  <c r="C106" i="2"/>
  <c r="E132" i="4"/>
  <c r="D161" i="4"/>
  <c r="I130" i="4" l="1"/>
  <c r="E105" i="2" s="1"/>
  <c r="D106" i="2"/>
  <c r="G132" i="4"/>
  <c r="D107" i="2" s="1"/>
  <c r="I131" i="4"/>
  <c r="E106" i="2" s="1"/>
  <c r="J161" i="4"/>
  <c r="L161" i="4"/>
  <c r="L163" i="4" s="1"/>
  <c r="I161" i="4"/>
  <c r="G75" i="2"/>
  <c r="D129" i="4"/>
  <c r="C107" i="2"/>
  <c r="F101" i="4"/>
  <c r="L101" i="4" s="1"/>
  <c r="M101" i="4"/>
  <c r="M102" i="4"/>
  <c r="F102" i="4"/>
  <c r="L102" i="4" s="1"/>
  <c r="I100" i="4"/>
  <c r="K100" i="4" s="1"/>
  <c r="D75" i="2"/>
  <c r="G100" i="4"/>
  <c r="I132" i="4" l="1"/>
  <c r="E107" i="2" s="1"/>
  <c r="H133" i="4"/>
  <c r="D131" i="4"/>
  <c r="G77" i="2"/>
  <c r="B7" i="2"/>
  <c r="D77" i="2"/>
  <c r="G102" i="4"/>
  <c r="I102" i="4"/>
  <c r="K102" i="4" s="1"/>
  <c r="G76" i="2"/>
  <c r="D130" i="4"/>
  <c r="G101" i="4"/>
  <c r="I101" i="4"/>
  <c r="K101" i="4" s="1"/>
  <c r="D76" i="2"/>
  <c r="J133" i="4" l="1"/>
</calcChain>
</file>

<file path=xl/sharedStrings.xml><?xml version="1.0" encoding="utf-8"?>
<sst xmlns="http://schemas.openxmlformats.org/spreadsheetml/2006/main" count="712" uniqueCount="379">
  <si>
    <r>
      <t>Total number of admissions</t>
    </r>
    <r>
      <rPr>
        <sz val="9"/>
        <rFont val="Arial"/>
        <family val="2"/>
      </rPr>
      <t xml:space="preserve"> (per quarter)</t>
    </r>
  </si>
  <si>
    <r>
      <t>Total number of supplies</t>
    </r>
    <r>
      <rPr>
        <sz val="9"/>
        <rFont val="Arial"/>
        <family val="2"/>
      </rPr>
      <t xml:space="preserve"> (shipping units per quarter)</t>
    </r>
  </si>
  <si>
    <r>
      <t xml:space="preserve">To be procured </t>
    </r>
    <r>
      <rPr>
        <sz val="9"/>
        <rFont val="Arial"/>
        <family val="2"/>
      </rPr>
      <t>(shipping units)</t>
    </r>
  </si>
  <si>
    <t>Estimated no. of admissions</t>
  </si>
  <si>
    <t>Total number of admissions</t>
  </si>
  <si>
    <t>Number of supplies needed *</t>
  </si>
  <si>
    <t>*For small quantities the minimum total annual need -in whole units- equals the number of treatment facilities</t>
  </si>
  <si>
    <t>Supplies needed for emergencies</t>
  </si>
  <si>
    <t>Number of supplies to be procured *</t>
  </si>
  <si>
    <t>* Total number of supplies are rounded up to the nearest whole number</t>
  </si>
  <si>
    <t>Number of supplies needed this period</t>
  </si>
  <si>
    <t>International Freight costs *</t>
  </si>
  <si>
    <t>INPUT ASSUMPTIONS TO FORECAST NEEDS FOR THERAPEUTIC FEEDING</t>
  </si>
  <si>
    <t>User guide for inputting data</t>
  </si>
  <si>
    <t>•  Information should be entered only in the yellow boxes.</t>
  </si>
  <si>
    <t>&lt;Example input box&gt;</t>
  </si>
  <si>
    <t>•  Some of these yellow input boxes can remain zero or empty.  Instructions are given if they must be filled.</t>
  </si>
  <si>
    <r>
      <t xml:space="preserve">•  User instructions are given in </t>
    </r>
    <r>
      <rPr>
        <sz val="10"/>
        <color indexed="11"/>
        <rFont val="Arial"/>
        <family val="2"/>
      </rPr>
      <t>green</t>
    </r>
    <r>
      <rPr>
        <sz val="10"/>
        <color indexed="17"/>
        <rFont val="Arial"/>
        <family val="2"/>
      </rPr>
      <t xml:space="preserve"> font</t>
    </r>
    <r>
      <rPr>
        <sz val="10"/>
        <rFont val="Arial"/>
        <family val="2"/>
      </rPr>
      <t>.  "</t>
    </r>
    <r>
      <rPr>
        <sz val="10"/>
        <color indexed="11"/>
        <rFont val="Arial"/>
        <family val="2"/>
      </rPr>
      <t>Ok input</t>
    </r>
    <r>
      <rPr>
        <sz val="10"/>
        <rFont val="Arial"/>
        <family val="2"/>
      </rPr>
      <t xml:space="preserve">" indicates that the input is valid.  </t>
    </r>
  </si>
  <si>
    <r>
      <t xml:space="preserve">•  </t>
    </r>
    <r>
      <rPr>
        <sz val="10"/>
        <color indexed="10"/>
        <rFont val="Arial"/>
        <family val="2"/>
      </rPr>
      <t>Red font</t>
    </r>
    <r>
      <rPr>
        <sz val="10"/>
        <rFont val="Arial"/>
        <family val="2"/>
      </rPr>
      <t xml:space="preserve"> appears if invalid input has been entered or input is missing; the model will not work properly with invalid or missing input.</t>
    </r>
  </si>
  <si>
    <t>•  The white boxes show calculation results by the model.  They should/can not be edited by the user.</t>
  </si>
  <si>
    <t>•  Input step 1 to 5 and then view your forecast results on sheet "Calculation" and "Forecast Output"</t>
  </si>
  <si>
    <t>Weight, Volume and Estimated Costs of different nutrition products</t>
  </si>
  <si>
    <t>Products</t>
  </si>
  <si>
    <t>Shipping Unit</t>
  </si>
  <si>
    <t>Part Unit</t>
  </si>
  <si>
    <t>No. of Part units per Shipping Unit</t>
  </si>
  <si>
    <t>Net Weight per Part Unit (kg)</t>
  </si>
  <si>
    <t>Net Weight/ Shipping unit (kg)</t>
  </si>
  <si>
    <t>Gross Weight/ Shipping unit (kg)</t>
  </si>
  <si>
    <t>Gross Volume/ Shipping unit (cdm)</t>
  </si>
  <si>
    <t>Folic acid 5mg tabs/PAC-1000</t>
  </si>
  <si>
    <t>PAC-1000</t>
  </si>
  <si>
    <t>Tab</t>
  </si>
  <si>
    <t>CAR-150</t>
  </si>
  <si>
    <t>sachet 92g</t>
  </si>
  <si>
    <t>Retinol 100,000IU soft gel.caps/PAC-500</t>
  </si>
  <si>
    <t>PAC-500</t>
  </si>
  <si>
    <t>Caps</t>
  </si>
  <si>
    <t>Retinol 200,000IU soft gel.caps/PAC-500</t>
  </si>
  <si>
    <t>Mebendazole 500 mg tabs/PAC-100</t>
  </si>
  <si>
    <t>PAC-100</t>
  </si>
  <si>
    <t>Amoxici.pdr/oral sus 125mg/5ml/BOT-100ml</t>
  </si>
  <si>
    <t>BOT-100ml</t>
  </si>
  <si>
    <t>Bottle</t>
  </si>
  <si>
    <t>BP100 Therapeutic diet/CAR-9x24x56.8g</t>
  </si>
  <si>
    <t>CAR-9x24</t>
  </si>
  <si>
    <t>Bar 56.8g</t>
  </si>
  <si>
    <t>Albendazole 400mg tabs/PAC-100</t>
  </si>
  <si>
    <t>• Prices are indicative only. Visit UNICEF Supply Catalogue online and select 'Login' to see the latest prices per product.  -&gt;</t>
  </si>
  <si>
    <t>http://www.supply.unicef.dk/catalogue/</t>
  </si>
  <si>
    <t xml:space="preserve"> Note: For Retinol, Folic Acid, Mebendazole, Amoxici.pdr, Albendazole; Net weights are approximate, based on Gross weight</t>
  </si>
  <si>
    <t>Unit</t>
  </si>
  <si>
    <t>1- Forecasting Location and population profile</t>
  </si>
  <si>
    <t>Forecast year</t>
  </si>
  <si>
    <t>Forecast start month</t>
  </si>
  <si>
    <t>Population</t>
  </si>
  <si>
    <t>Percentage of children under 5 (%)</t>
  </si>
  <si>
    <t>Number of children under 5</t>
  </si>
  <si>
    <t>Prevalence of S.A.M. (%)</t>
  </si>
  <si>
    <t>• Input Prevalence according to the same criteria (WHM or WHZ or MUAC) used for admission into programmes</t>
  </si>
  <si>
    <t>Incidence of S.A.M. over 1 year</t>
  </si>
  <si>
    <t>• The Incidence multiplying factor accounts for dynamic increase of malnutrition. Recommended value = 2.</t>
  </si>
  <si>
    <t>(multiplying factor)</t>
  </si>
  <si>
    <t>•  S.A.M.: Severe Acute Malnutrition</t>
  </si>
  <si>
    <t>Estimated annual (new) caseload</t>
  </si>
  <si>
    <t>Country- or region name</t>
  </si>
  <si>
    <t>Source of S.A.M. data</t>
  </si>
  <si>
    <t>Date of S.A.M. data source</t>
  </si>
  <si>
    <t>January</t>
  </si>
  <si>
    <t>Current date serial number</t>
  </si>
  <si>
    <t>Current date month</t>
  </si>
  <si>
    <t>Month lookup table</t>
  </si>
  <si>
    <t>Number</t>
  </si>
  <si>
    <t>Month</t>
  </si>
  <si>
    <t>Year</t>
  </si>
  <si>
    <t>Jan</t>
  </si>
  <si>
    <t>Feb</t>
  </si>
  <si>
    <t>Mar</t>
  </si>
  <si>
    <t>Apr</t>
  </si>
  <si>
    <t>May</t>
  </si>
  <si>
    <t>Jun</t>
  </si>
  <si>
    <t>Jul</t>
  </si>
  <si>
    <t>Aug</t>
  </si>
  <si>
    <t>Sep</t>
  </si>
  <si>
    <t>Oct</t>
  </si>
  <si>
    <t>Nov</t>
  </si>
  <si>
    <t>Dec</t>
  </si>
  <si>
    <t>• Numbers in the yellow cells are figures recommended by the Program Department (NY PD); adjust these based on your actual consumption or projections</t>
  </si>
  <si>
    <t>• Leakage is a percentage which is added later to the total, to forecast the extra quanitity needed for leakage, wastage, damage and pilferage</t>
  </si>
  <si>
    <r>
      <t xml:space="preserve">In patient      </t>
    </r>
    <r>
      <rPr>
        <b/>
        <sz val="9"/>
        <rFont val="Arial"/>
        <family val="2"/>
      </rPr>
      <t xml:space="preserve">  </t>
    </r>
    <r>
      <rPr>
        <sz val="9"/>
        <color indexed="11"/>
        <rFont val="Arial"/>
        <family val="2"/>
      </rPr>
      <t>(includes RUTF needs for these children once they reach outpatient care )</t>
    </r>
  </si>
  <si>
    <t>Item</t>
  </si>
  <si>
    <t>Leakage (%)</t>
  </si>
  <si>
    <t>2- Estimated quanitity of supplies, per treatment / child</t>
  </si>
  <si>
    <t>Recommended no. Part Units /Treatment/child</t>
  </si>
  <si>
    <t>Recommended no. Part Units /treatment/child</t>
  </si>
  <si>
    <t>• Fill in the table for the coming year based on previous year admissions, a prediction of trends, seasonal malnutrition patterns, the scale up plan and the capacity of the CO partners.</t>
  </si>
  <si>
    <t>• The Out patient number should be for new admissions who will receive only Outpatient treatment, while the Inpatient number will receive initial treatment in Inpatient followed by Outpatient treatment.</t>
  </si>
  <si>
    <t>Estimated Admissions</t>
  </si>
  <si>
    <t>Total</t>
  </si>
  <si>
    <t>Input verification</t>
  </si>
  <si>
    <t>Patient Ratio</t>
  </si>
  <si>
    <t>1- Annual Caseload</t>
  </si>
  <si>
    <t>3- Estimated number of admissions, per month</t>
  </si>
  <si>
    <t>Nutrition Emergencies:</t>
  </si>
  <si>
    <t>Total admissions</t>
  </si>
  <si>
    <t>for regular programmes</t>
  </si>
  <si>
    <t>Average</t>
  </si>
  <si>
    <t>3- Admissions</t>
  </si>
  <si>
    <r>
      <t xml:space="preserve">• </t>
    </r>
    <r>
      <rPr>
        <u/>
        <sz val="9"/>
        <color indexed="11"/>
        <rFont val="Arial"/>
        <family val="2"/>
      </rPr>
      <t>Units in stock</t>
    </r>
    <r>
      <rPr>
        <sz val="9"/>
        <color indexed="11"/>
        <rFont val="Arial"/>
        <family val="2"/>
      </rPr>
      <t>: enter total number of Shipping units (cartons, pacs, bottles) currently in stock at the beginning of the forecast period</t>
    </r>
  </si>
  <si>
    <r>
      <t xml:space="preserve">• </t>
    </r>
    <r>
      <rPr>
        <u/>
        <sz val="9"/>
        <color indexed="11"/>
        <rFont val="Arial"/>
        <family val="2"/>
      </rPr>
      <t>Units in pipeline</t>
    </r>
    <r>
      <rPr>
        <sz val="9"/>
        <color indexed="11"/>
        <rFont val="Arial"/>
        <family val="2"/>
      </rPr>
      <t>: are all supplies which have been ordered before this forecast period and are being shipped (en-route) to the port of entry and final delivery points incountry</t>
    </r>
  </si>
  <si>
    <t>Months of Safety stock required at the start of the forecast period
(0 - 6 months)</t>
  </si>
  <si>
    <t>(Shipping) Units in stock at UNICEF Country Office warehouse(s)</t>
  </si>
  <si>
    <t>Units in stock at MoH counterpart and implementing partner warehouses</t>
  </si>
  <si>
    <t>Units in pipeline/ being shipped to port of entry and in-country final delivery point</t>
  </si>
  <si>
    <t>Total number of units in stock and in the pipeline at start of forecast period</t>
  </si>
  <si>
    <t>User specified product 1</t>
  </si>
  <si>
    <t>User specified product 2</t>
  </si>
  <si>
    <t>User specified product 3</t>
  </si>
  <si>
    <t>User specified product 4</t>
  </si>
  <si>
    <t>User specified product 5</t>
  </si>
  <si>
    <t>User specified product 6</t>
  </si>
  <si>
    <t>User specified product 7</t>
  </si>
  <si>
    <t>User specified product 8</t>
  </si>
  <si>
    <t>User specified product 9</t>
  </si>
  <si>
    <t>TOTAL</t>
  </si>
  <si>
    <t>Total number of units in stock and in the pipeline</t>
  </si>
  <si>
    <t>Supplies needed for all admissions in this forecast period</t>
  </si>
  <si>
    <t>CALCULATION RESULTS FOR THERAPEUTIC FEEDING FORECAST</t>
  </si>
  <si>
    <t>Total: number Shipping Units (CAR / PAC / KG / BOT)</t>
  </si>
  <si>
    <t>• All figures on this sheet are calculated automatically based on sheet "Inputs"</t>
  </si>
  <si>
    <t>Parts/unit</t>
  </si>
  <si>
    <t>Maximum</t>
  </si>
  <si>
    <r>
      <t xml:space="preserve">• </t>
    </r>
    <r>
      <rPr>
        <u/>
        <sz val="9"/>
        <color indexed="11"/>
        <rFont val="Arial"/>
        <family val="2"/>
      </rPr>
      <t>Emergency stock</t>
    </r>
    <r>
      <rPr>
        <sz val="9"/>
        <color indexed="11"/>
        <rFont val="Arial"/>
        <family val="2"/>
      </rPr>
      <t>: supplies kept on hand to cover nutrition emergencies, calculated with estimated number of admissions (in part 3)</t>
    </r>
  </si>
  <si>
    <t>Routine programmes:</t>
  </si>
  <si>
    <t>Enter the number of admissions for which you want to keep emergency supplies in stock</t>
  </si>
  <si>
    <t>Total estimated Admissions</t>
  </si>
  <si>
    <r>
      <t xml:space="preserve">• </t>
    </r>
    <r>
      <rPr>
        <u/>
        <sz val="9"/>
        <color indexed="11"/>
        <rFont val="Arial"/>
        <family val="2"/>
      </rPr>
      <t>Safety stock</t>
    </r>
    <r>
      <rPr>
        <sz val="9"/>
        <color indexed="11"/>
        <rFont val="Arial"/>
        <family val="2"/>
      </rPr>
      <t>: the quantity of supplies used in the total number of months from purchase order-issue date to delivery at final delivery point (TFAD)</t>
    </r>
  </si>
  <si>
    <t xml:space="preserve">  Safety stock is based on the forecasted average monthly usage, which is based on the number of routine admissions per month (in part 3)</t>
  </si>
  <si>
    <t>Routine programmes</t>
  </si>
  <si>
    <t>Nutrition emergencies</t>
  </si>
  <si>
    <t>Supplies needed for Nutrition Emergency stock</t>
  </si>
  <si>
    <t>5- Current stock information and requirements for safety stock</t>
  </si>
  <si>
    <t>A</t>
  </si>
  <si>
    <t>B</t>
  </si>
  <si>
    <t>C</t>
  </si>
  <si>
    <t>D</t>
  </si>
  <si>
    <t>=(A+B+C)-D</t>
  </si>
  <si>
    <t>2+3: Estimated Quantity of supplies needed per quarter (incl. emergencies and leakage)</t>
  </si>
  <si>
    <t>6: Estimated Costs of supplies plus shipping</t>
  </si>
  <si>
    <t>Total needs to order (units)</t>
  </si>
  <si>
    <t>Estimated costs of supplies (Us$)</t>
  </si>
  <si>
    <t>Total cost of supplies (Us$)</t>
  </si>
  <si>
    <t>ORIGIN_PORT</t>
  </si>
  <si>
    <t>DESTINATION_COUNTRY</t>
  </si>
  <si>
    <t>CURR</t>
  </si>
  <si>
    <t>SEA_FRT_20_FT</t>
  </si>
  <si>
    <t>SEA_FRT_40_FT</t>
  </si>
  <si>
    <t>AIR_MIN_FRT (lumpsum)</t>
  </si>
  <si>
    <t>AIR_FRT_0_KG-1000_KG</t>
  </si>
  <si>
    <t>AIR_FRT_1000_KG and above</t>
  </si>
  <si>
    <t>Copenhagen</t>
  </si>
  <si>
    <t>Afghanistan</t>
  </si>
  <si>
    <t>USD</t>
  </si>
  <si>
    <t>Angola</t>
  </si>
  <si>
    <t>Argentina</t>
  </si>
  <si>
    <t>Bangladesh</t>
  </si>
  <si>
    <t>Benin</t>
  </si>
  <si>
    <t>Burkina Faso</t>
  </si>
  <si>
    <t>Burundi</t>
  </si>
  <si>
    <t>Cambodia</t>
  </si>
  <si>
    <t>Cameroon</t>
  </si>
  <si>
    <t>Central African Republic</t>
  </si>
  <si>
    <t>Chad</t>
  </si>
  <si>
    <t>Congo</t>
  </si>
  <si>
    <t>Congo DRC</t>
  </si>
  <si>
    <t>Côte d’Ivoire</t>
  </si>
  <si>
    <t>Democratic Republic of the Congo</t>
  </si>
  <si>
    <t>Djibouti</t>
  </si>
  <si>
    <t>Eritrea</t>
  </si>
  <si>
    <t>Ethiopia</t>
  </si>
  <si>
    <t>Gabon</t>
  </si>
  <si>
    <t>Gambia</t>
  </si>
  <si>
    <t>Georgia</t>
  </si>
  <si>
    <t>Ghana</t>
  </si>
  <si>
    <t>Guinea</t>
  </si>
  <si>
    <t>Guinea-Bissau</t>
  </si>
  <si>
    <t>Haiti</t>
  </si>
  <si>
    <t>India</t>
  </si>
  <si>
    <t>Indonesia</t>
  </si>
  <si>
    <t>Israel</t>
  </si>
  <si>
    <t>Jordan</t>
  </si>
  <si>
    <t>Kenya</t>
  </si>
  <si>
    <t>Lebanon</t>
  </si>
  <si>
    <t>Liberia</t>
  </si>
  <si>
    <t>Madagascar</t>
  </si>
  <si>
    <t>Malawi</t>
  </si>
  <si>
    <t>Maldives</t>
  </si>
  <si>
    <t>Mali</t>
  </si>
  <si>
    <t>Mauritania</t>
  </si>
  <si>
    <t>Mongolia</t>
  </si>
  <si>
    <t>Mozambique</t>
  </si>
  <si>
    <t>Myanmar</t>
  </si>
  <si>
    <t>Namibia</t>
  </si>
  <si>
    <t>Nicaragua</t>
  </si>
  <si>
    <t>Niger</t>
  </si>
  <si>
    <t>Nigeria</t>
  </si>
  <si>
    <t>North Sudan</t>
  </si>
  <si>
    <t>Pakistan</t>
  </si>
  <si>
    <t>Philippines</t>
  </si>
  <si>
    <t>Rwanda</t>
  </si>
  <si>
    <t>Senegal</t>
  </si>
  <si>
    <t>Sierra Leone</t>
  </si>
  <si>
    <t>Somalia</t>
  </si>
  <si>
    <t>South Africa</t>
  </si>
  <si>
    <t>South Sudan</t>
  </si>
  <si>
    <t>Sri Lanka</t>
  </si>
  <si>
    <t>Syrian Arab Republic</t>
  </si>
  <si>
    <t>Thailand</t>
  </si>
  <si>
    <t>Togo</t>
  </si>
  <si>
    <t>Uganda</t>
  </si>
  <si>
    <t>United Arab Emirates</t>
  </si>
  <si>
    <t>United Republic of Tanzania</t>
  </si>
  <si>
    <t>Viet Nam</t>
  </si>
  <si>
    <t>Yemen</t>
  </si>
  <si>
    <t>Zambia</t>
  </si>
  <si>
    <t>Zimbabwe</t>
  </si>
  <si>
    <t>Gross Volume (cbm)</t>
  </si>
  <si>
    <t>Select shipment in 20 ft or 40 ft containers:</t>
  </si>
  <si>
    <t>Select shipment by sea or air:</t>
  </si>
  <si>
    <t>Therapeutic spread, sachet 92g/CAR-150</t>
  </si>
  <si>
    <t>Net Weight (Kg)</t>
  </si>
  <si>
    <t># 40 ft containers</t>
  </si>
  <si>
    <t># 20 Ft containers</t>
  </si>
  <si>
    <t>Gross Weight (Kg)</t>
  </si>
  <si>
    <t>Net Kg</t>
  </si>
  <si>
    <t>Gross Kg</t>
  </si>
  <si>
    <t>Vol. cbm</t>
  </si>
  <si>
    <t>20 ft</t>
  </si>
  <si>
    <t>40 ft</t>
  </si>
  <si>
    <t>Country:</t>
  </si>
  <si>
    <t>Container:</t>
  </si>
  <si>
    <t>Mode:</t>
  </si>
  <si>
    <t>Chargeable weight</t>
  </si>
  <si>
    <t>Air:</t>
  </si>
  <si>
    <r>
      <t xml:space="preserve">• </t>
    </r>
    <r>
      <rPr>
        <u/>
        <sz val="9"/>
        <color indexed="11"/>
        <rFont val="Arial"/>
        <family val="2"/>
      </rPr>
      <t>Calculation estimate</t>
    </r>
    <r>
      <rPr>
        <sz val="9"/>
        <color indexed="11"/>
        <rFont val="Arial"/>
        <family val="2"/>
      </rPr>
      <t xml:space="preserve"> for input at section (6), for input values:</t>
    </r>
  </si>
  <si>
    <t>Weight and Volume of supplies</t>
  </si>
  <si>
    <t>4+5: Analysis of Stock requirements. Number of Units to order</t>
  </si>
  <si>
    <t>OUTPUT VALUES FOR THERAPEUTIC FEEDING FORECAST</t>
  </si>
  <si>
    <t>Annual Therapeutic feeding Forecast Results</t>
  </si>
  <si>
    <t>Nutrition supplies</t>
  </si>
  <si>
    <t>Supplies in stock and in the pipeline</t>
  </si>
  <si>
    <t>Estimated costs of supplies</t>
  </si>
  <si>
    <t>Supplies needed for safety stock</t>
  </si>
  <si>
    <t>Procurement Costs</t>
  </si>
  <si>
    <t>ESTIMATED TOTAL COST (Usd)</t>
  </si>
  <si>
    <t>Comments</t>
  </si>
  <si>
    <t>• The recommended Qty is sufficient for transition in inpatient care and for outpatient care</t>
  </si>
  <si>
    <t>• Please state clear reference of data source (such as (MICS, Two stage cluster survey, DHS, etc), including organization responsible</t>
  </si>
  <si>
    <t>• Please state year and month of S.A.M. data source</t>
  </si>
  <si>
    <t>• If you use Therapeutic spread instead of F100 for transition, remove F100 from the Inpatient supplies list</t>
  </si>
  <si>
    <t>• If you use BP100, decrease the Qty of F100 and Therapeutic Spread accordingly, or remove them from the list</t>
  </si>
  <si>
    <t>• For Anti Helminth requirements select either Mebendazole or Albendazole (not both)</t>
  </si>
  <si>
    <t>Estimate No. of Part Units /Treatment / child</t>
  </si>
  <si>
    <t>Select your country of destination:</t>
  </si>
  <si>
    <t>a)</t>
  </si>
  <si>
    <t>b)</t>
  </si>
  <si>
    <t>c)</t>
  </si>
  <si>
    <t>• Do not leave items a), (b) and c) empty; they are required for the final cost estimate on the output sheet</t>
  </si>
  <si>
    <t>• For acurate shipping rates from other origins contact your supply/logistics officer</t>
  </si>
  <si>
    <t>Estimated International Freight costs (Us$)
from Copenhagen</t>
  </si>
  <si>
    <r>
      <t xml:space="preserve">• </t>
    </r>
    <r>
      <rPr>
        <u/>
        <sz val="9"/>
        <color indexed="11"/>
        <rFont val="Arial"/>
        <family val="2"/>
      </rPr>
      <t>Estimated number of containers</t>
    </r>
    <r>
      <rPr>
        <sz val="9"/>
        <color indexed="11"/>
        <rFont val="Arial"/>
        <family val="2"/>
      </rPr>
      <t>: based on Gross Volume of supplies and: 20ft = 33.2 cbm, 40ft = 67.5 cbm minus 15% loss of volume.</t>
    </r>
  </si>
  <si>
    <t>• CBM: Cubic Metres</t>
  </si>
  <si>
    <r>
      <t xml:space="preserve">• </t>
    </r>
    <r>
      <rPr>
        <sz val="9"/>
        <color indexed="11"/>
        <rFont val="Arial"/>
        <family val="2"/>
      </rPr>
      <t xml:space="preserve">The Total number of containers has </t>
    </r>
    <r>
      <rPr>
        <u/>
        <sz val="9"/>
        <color indexed="11"/>
        <rFont val="Arial"/>
        <family val="2"/>
      </rPr>
      <t>not</t>
    </r>
    <r>
      <rPr>
        <sz val="9"/>
        <color indexed="11"/>
        <rFont val="Arial"/>
        <family val="2"/>
      </rPr>
      <t xml:space="preserve"> been rounded up to whole numbers to calculate the Total Freight costs</t>
    </r>
  </si>
  <si>
    <t>Note: This forecast does not include guidance on what needs to be in place to programme these supplies appropriately to reach the children in need, nor the costs involved with programme management and additional supplies. For more information on these aspects please refer to: UNICEF Programme Guidance February 2008, Management of Severe Acute Malnutrition in Children.</t>
  </si>
  <si>
    <t>Total needs to order new for this period</t>
  </si>
  <si>
    <t>TOTAL (Usd)</t>
  </si>
  <si>
    <t>• For small quantities the minimum total need -in whole units- equals the maximum number of treatment facilities</t>
  </si>
  <si>
    <t>• See column M (on the right side) for stock advice</t>
  </si>
  <si>
    <t>Input example below</t>
  </si>
  <si>
    <t>Output:</t>
  </si>
  <si>
    <t xml:space="preserve">On Sheet Calculations, you can find:
</t>
  </si>
  <si>
    <t>Start:</t>
  </si>
  <si>
    <r>
      <t xml:space="preserve">This forecast is based on the two main components of therapeutic feeding programmes which require supplies:
</t>
    </r>
    <r>
      <rPr>
        <b/>
        <sz val="10"/>
        <color indexed="10"/>
        <rFont val="Arial"/>
        <family val="2"/>
      </rPr>
      <t>Inpatient therapeutic care</t>
    </r>
    <r>
      <rPr>
        <sz val="10"/>
        <rFont val="Arial"/>
        <family val="2"/>
      </rPr>
      <t xml:space="preserve"> and </t>
    </r>
    <r>
      <rPr>
        <b/>
        <sz val="10"/>
        <color indexed="10"/>
        <rFont val="Arial"/>
        <family val="2"/>
      </rPr>
      <t>Outpatient therapeutic care</t>
    </r>
  </si>
  <si>
    <r>
      <t xml:space="preserve">•  Children admitted in </t>
    </r>
    <r>
      <rPr>
        <b/>
        <sz val="10"/>
        <color indexed="10"/>
        <rFont val="Arial"/>
        <family val="2"/>
      </rPr>
      <t>Outpatient</t>
    </r>
    <r>
      <rPr>
        <sz val="10"/>
        <rFont val="Arial"/>
        <family val="2"/>
      </rPr>
      <t xml:space="preserve"> care are children with severe acute malnutrition without medical complications and
    with appetite.</t>
    </r>
  </si>
  <si>
    <t>On Sheet "Input" as a first step, input population demographics: population number, the estimated percentage of Severe Acute Malnutrition using the same criteria as are used for admission into programmes, the percentage of children under 5 and the incidence factor (recommended "2").</t>
  </si>
  <si>
    <r>
      <t>Use the table in Step 2 to input</t>
    </r>
    <r>
      <rPr>
        <b/>
        <sz val="10"/>
        <rFont val="Arial"/>
        <family val="2"/>
      </rPr>
      <t xml:space="preserve"> </t>
    </r>
    <r>
      <rPr>
        <b/>
        <sz val="10"/>
        <color indexed="10"/>
        <rFont val="Arial"/>
        <family val="2"/>
      </rPr>
      <t>the estimated quantity of supplies needed per admission</t>
    </r>
    <r>
      <rPr>
        <sz val="10"/>
        <rFont val="Arial"/>
        <family val="2"/>
      </rPr>
      <t xml:space="preserve"> for your programme. (in other words: the total quantity of nutrition products per treatment per patient). This is an important part of your planning and forecast: you need to know the system &amp; treatment protocols in place. This should be determined after discussion with your counterparts and input from your supply/logistics specialist. 
The numbers that are given are based on international guidance for programmes comprising inpatient and outpatient care.</t>
    </r>
  </si>
  <si>
    <t>As Step 3, enter the estimated number of new Inpatient and Outpatient admissions per month. This can be based on previous years' admissions or a prediction of trends. For planning purposes, this tool assumes that the Inpatient admissions receive Inpatient care followed by Outpatient care, while the numbers entered as Outpatient admissions are for direct Outpatient admissions who receive the treatment in Outpatient care only.
i.e.: Inpatient new admissions + Outpatient new admissions = Total admissions.</t>
  </si>
  <si>
    <t>•  Specific needs for Inpatients summarized in number of sachets/tablets (part units) per quarter.
•  Specific needs for Outpatients summarized in number of sachets/tables (part units) per quarter.
•  Stock analysis, with advice on your buffer stock and number of units to order.
•  Shipping Cost information, plus Net and Gross volumes and weight per product and number of containers.</t>
  </si>
  <si>
    <t>As a final step, 6, input your country of destination, required container size and mode of shipping. This is needed for the freight cost estimate.</t>
  </si>
  <si>
    <t>Step 4: enter for how many new admissions you want to keep stock on hand to cover nutrition emergencies. This emergency stock will be calculated with the supplies required per treatment (in step 2) multiplied by this number.</t>
  </si>
  <si>
    <r>
      <t>Go to spreadsheet named "</t>
    </r>
    <r>
      <rPr>
        <b/>
        <sz val="10"/>
        <color indexed="48"/>
        <rFont val="Arial"/>
        <family val="2"/>
      </rPr>
      <t>Output</t>
    </r>
    <r>
      <rPr>
        <sz val="10"/>
        <rFont val="Arial"/>
        <family val="2"/>
      </rPr>
      <t xml:space="preserve">" to see the overall needs automatically calculated.
This sheet can assist you with annual planning and fundraising.
</t>
    </r>
  </si>
  <si>
    <r>
      <t xml:space="preserve">Sheet </t>
    </r>
    <r>
      <rPr>
        <b/>
        <sz val="10"/>
        <color indexed="48"/>
        <rFont val="Arial"/>
        <family val="2"/>
      </rPr>
      <t>"Calculation"</t>
    </r>
    <r>
      <rPr>
        <sz val="10"/>
        <rFont val="Arial"/>
        <family val="2"/>
      </rPr>
      <t xml:space="preserve"> provides a summary of admissions per quarter and overall needs per quarter, plus a stock analysis with advice.
We hope this can assist you during the year, to compare actual patient numbers and consumption with the forecast and manage</t>
    </r>
  </si>
  <si>
    <r>
      <t>This spreadsheet is made to help you calculate a forecast of supply needs &amp; supply costs of a Therapeutic Feeding programme, based on the data you enter on sheet "</t>
    </r>
    <r>
      <rPr>
        <b/>
        <sz val="10"/>
        <color indexed="48"/>
        <rFont val="Arial"/>
        <family val="2"/>
      </rPr>
      <t>Input</t>
    </r>
    <r>
      <rPr>
        <sz val="10"/>
        <rFont val="Arial"/>
        <family val="2"/>
      </rPr>
      <t>". After you completed the input, a printout of sheet "</t>
    </r>
    <r>
      <rPr>
        <b/>
        <sz val="10"/>
        <color indexed="48"/>
        <rFont val="Arial"/>
        <family val="2"/>
      </rPr>
      <t>Output</t>
    </r>
    <r>
      <rPr>
        <sz val="10"/>
        <rFont val="Arial"/>
        <family val="2"/>
      </rPr>
      <t>" can assist you with budgetting &amp; fundraising, while sheet "</t>
    </r>
    <r>
      <rPr>
        <b/>
        <sz val="10"/>
        <color indexed="48"/>
        <rFont val="Arial"/>
        <family val="2"/>
      </rPr>
      <t>Calculation</t>
    </r>
    <r>
      <rPr>
        <sz val="10"/>
        <rFont val="Arial"/>
        <family val="2"/>
      </rPr>
      <t>" provides more forecast details, to assist you with programming and managing your stocks.</t>
    </r>
  </si>
  <si>
    <t>Go to Sheet Input</t>
  </si>
  <si>
    <t>-</t>
  </si>
  <si>
    <t>ReSoMal, 42g sachet/1L/CAR-100</t>
  </si>
  <si>
    <t>sachet 42g</t>
  </si>
  <si>
    <t>CAR-100</t>
  </si>
  <si>
    <t>F75 Therapeutic diet, sachet 102.5g/CAR-120</t>
  </si>
  <si>
    <t>CAR-120</t>
  </si>
  <si>
    <t>sachet 102.5g</t>
  </si>
  <si>
    <t>sachet 114g</t>
  </si>
  <si>
    <t>F100 Therapeutic diet, sachet 114g/CAR-90</t>
  </si>
  <si>
    <t>CAR-90</t>
  </si>
  <si>
    <t>Please note that the above estimates are for UNICEF country programme. Please indicate which other partners are purchasing RUTF by themselves, if any.</t>
  </si>
  <si>
    <t>4- Requirements for additional safety stock for emergency</t>
  </si>
  <si>
    <t>At Step 5, You have to take into account the supplies you already have in-country and which are being delivered (on order), including the minimum quantity of supplies you need to keep in stock as a safety stock. For this part you should involve your Supply/Logistics specialist; it should be based on a sound distribution plan and recent stock information (pay attention to shelf life). Without this data your forecast would be missing an important step.</t>
  </si>
  <si>
    <r>
      <t xml:space="preserve">• </t>
    </r>
    <r>
      <rPr>
        <u/>
        <sz val="9"/>
        <color indexed="11"/>
        <rFont val="Arial"/>
        <family val="2"/>
      </rPr>
      <t>Pay attention to expiry/shelf life</t>
    </r>
  </si>
  <si>
    <t xml:space="preserve"> Note: Retinol may be available as IKA (in-kind donation). For more information, contact: vitamina@unicef.org</t>
  </si>
  <si>
    <t>Bolivia</t>
  </si>
  <si>
    <t>Botswana</t>
  </si>
  <si>
    <t>Comoros</t>
  </si>
  <si>
    <t>Guatemala</t>
  </si>
  <si>
    <t>Honduras</t>
  </si>
  <si>
    <t>Lesotho</t>
  </si>
  <si>
    <t>Nepal</t>
  </si>
  <si>
    <t>Swaziland</t>
  </si>
  <si>
    <t>Tajikistan</t>
  </si>
  <si>
    <t>Sao Tome and Principe</t>
  </si>
  <si>
    <t>% of children reached by programme out of total caseload foreseen</t>
  </si>
  <si>
    <t xml:space="preserve">Out patient </t>
  </si>
  <si>
    <r>
      <t xml:space="preserve">•  Children admitted in </t>
    </r>
    <r>
      <rPr>
        <b/>
        <sz val="10"/>
        <color indexed="10"/>
        <rFont val="Arial"/>
        <family val="2"/>
      </rPr>
      <t>Inpatient</t>
    </r>
    <r>
      <rPr>
        <sz val="10"/>
        <rFont val="Arial"/>
        <family val="2"/>
      </rPr>
      <t xml:space="preserve"> care are children with severe acute malnutrition, or with medical complications and
   poor appetite. </t>
    </r>
    <r>
      <rPr>
        <b/>
        <sz val="10"/>
        <rFont val="Arial"/>
        <family val="2"/>
      </rPr>
      <t xml:space="preserve">Note: </t>
    </r>
    <r>
      <rPr>
        <sz val="10"/>
        <rFont val="Arial"/>
        <family val="2"/>
      </rPr>
      <t>in the forecasting tool, the no. of children entered as inpatient will not need to be included as outpatient.</t>
    </r>
  </si>
  <si>
    <t>6- Required input to estimate International Freight Costs</t>
  </si>
  <si>
    <t>HOW TO CALCULATE SUPPLY NEEDS FOR A THERAPEUTIC FEEDING PROGRAMME</t>
  </si>
  <si>
    <t>STEP BY STEP</t>
  </si>
  <si>
    <t>COMMENT CALCULER LES BESOINS  D’APPROVISIONNEMENT POUR UN PROGRAMME ALIMENTAIRE THERAPEUTIQUE</t>
  </si>
  <si>
    <r>
      <t xml:space="preserve">•  Les enfants admis en </t>
    </r>
    <r>
      <rPr>
        <b/>
        <sz val="10"/>
        <color indexed="10"/>
        <rFont val="Arial"/>
        <family val="2"/>
      </rPr>
      <t xml:space="preserve">soins ambulatoires </t>
    </r>
    <r>
      <rPr>
        <sz val="10"/>
        <rFont val="Arial"/>
        <family val="2"/>
      </rPr>
      <t xml:space="preserve">sont des enfants atteints de malnutrition aiguë sévère sans complications médicales et avec appétit. </t>
    </r>
  </si>
  <si>
    <r>
      <t xml:space="preserve">Cette prévision est basée sur les deux principales composantes des programmes d'alimentation thérapeutiques qui nécessitent des provisions:
Prise en charge thérapeutique des </t>
    </r>
    <r>
      <rPr>
        <b/>
        <sz val="10"/>
        <color indexed="10"/>
        <rFont val="Arial"/>
        <family val="2"/>
      </rPr>
      <t>patients hospitalisés</t>
    </r>
    <r>
      <rPr>
        <sz val="10"/>
        <rFont val="Arial"/>
        <family val="2"/>
      </rPr>
      <t xml:space="preserve"> et des </t>
    </r>
    <r>
      <rPr>
        <b/>
        <sz val="10"/>
        <color indexed="10"/>
        <rFont val="Arial"/>
        <family val="2"/>
      </rPr>
      <t>patients en soins ambulatoires</t>
    </r>
    <r>
      <rPr>
        <sz val="10"/>
        <rFont val="Arial"/>
        <family val="2"/>
      </rPr>
      <t xml:space="preserve">
</t>
    </r>
  </si>
  <si>
    <r>
      <t xml:space="preserve">•  Les enfants </t>
    </r>
    <r>
      <rPr>
        <b/>
        <sz val="10"/>
        <color indexed="10"/>
        <rFont val="Arial"/>
        <family val="2"/>
      </rPr>
      <t>hospitalisés</t>
    </r>
    <r>
      <rPr>
        <sz val="10"/>
        <rFont val="Arial"/>
        <family val="2"/>
      </rPr>
      <t xml:space="preserve"> sont des enfants souffrant de malnutrition aiguë sévère, ou souffrant de complications médicales et de manque d'appétit. Remarque: dans l'outil de prévision, le nombre d'enfants inscrits en tant que malades hospitalisés ne doit pas être de nouveau inclu en "patients externes".</t>
    </r>
  </si>
  <si>
    <t>Input:
(entrée)</t>
  </si>
  <si>
    <t>Input:</t>
  </si>
  <si>
    <r>
      <t>Cette feuille de calcul est faite pour vous aider à estimer les besoins et les coûts d'approvisionnement d'un programme alimentaire thérapeutique, sur la base des données que vous entrez sur la feuille "</t>
    </r>
    <r>
      <rPr>
        <b/>
        <sz val="10"/>
        <color indexed="48"/>
        <rFont val="Arial"/>
        <family val="2"/>
      </rPr>
      <t>Input</t>
    </r>
    <r>
      <rPr>
        <sz val="10"/>
        <rFont val="Arial"/>
        <family val="2"/>
      </rPr>
      <t>". Après avoir saisi l'entrée, une impression de la feuille "</t>
    </r>
    <r>
      <rPr>
        <b/>
        <sz val="10"/>
        <color indexed="48"/>
        <rFont val="Arial"/>
        <family val="2"/>
      </rPr>
      <t>Output</t>
    </r>
    <r>
      <rPr>
        <sz val="10"/>
        <rFont val="Arial"/>
        <family val="2"/>
      </rPr>
      <t>" peut vous aider à faire votre budget, tandis que la feuille "</t>
    </r>
    <r>
      <rPr>
        <b/>
        <sz val="10"/>
        <color indexed="48"/>
        <rFont val="Arial"/>
        <family val="2"/>
      </rPr>
      <t>Calculation</t>
    </r>
    <r>
      <rPr>
        <sz val="10"/>
        <rFont val="Arial"/>
        <family val="2"/>
      </rPr>
      <t>" fournit plus de détails sur les prévisions afin de vous aider avec la programmation et la gestion de vos stocks.</t>
    </r>
  </si>
  <si>
    <t>Sur la feuille "Input", dans un premier temps, entrez les données démographiques: chiffre de population, le pourcentage estimé de la malnutrition sévère aiguë en utilisant les mêmes critères que ceux utilisés pour l'admission dans les programmes, le pourcentage d'enfants de moins de 5 ans et le facteur d'incidence (recommandé "2 ").</t>
  </si>
  <si>
    <r>
      <t xml:space="preserve">Pour l’étape suivante, utilisez le tableau pour entrer </t>
    </r>
    <r>
      <rPr>
        <b/>
        <sz val="10"/>
        <color indexed="10"/>
        <rFont val="Arial"/>
        <family val="2"/>
      </rPr>
      <t>la quantité estimée des provisions nécessaires par admission</t>
    </r>
    <r>
      <rPr>
        <sz val="10"/>
        <rFont val="Arial"/>
        <family val="2"/>
      </rPr>
      <t xml:space="preserve"> de votre programme. (En d'autres termes: la quantité totale de produits nutritionnels pour le traitement par patient). Ceci est une partie importante de votre planification et de prévision: vous devez connaître le système et les protocoles de traitement en place. Ceci devrait être déterminé après discussion avec vos collègues en nutrition ainsi qu’avec votre responsable logistique. 
Les chiffres qui sont donnés sont basés sur les directives internationales pour les programmes comportant des soins hospitaliers et ambulatoires. </t>
    </r>
  </si>
  <si>
    <t xml:space="preserve">A l'étape 3, entrez le nombre estimé d’admissions de nouveaux patients hospitalisés et en ambulatoires par mois. Cela peut être basé sur les admissions des années précédentes ou sur une prévision des tendances pour l’année à venir. Dans le but de la planification, cet outil considère que les patients admis dans les hôpitaux reçoivent des soins hospitaliers suivis de soins ambulatoires, tandis que ceux inscrits comme admissions externes sont des admissions en ambulatoire directe et reçoivent uniquement le traitement en soins ambulatoires.
NB: les nouvelles admissions en milieu hospitalier + nouvelles admissions  ambulatoires = nombre total d'admissions.
</t>
  </si>
  <si>
    <t>A l'étape 5, vous devez prendre en compte les provisions que vous avez déjà dans le pays et qui sont en cours de livraison (en commande), y compris la quantité minimum de provisions dont vous avez besoin de garder en stock comme stock de sécurité. Pour cette partie vous devriez impliquer un spécialiste responsable de la logistique; ce calcul doit être fondé sur un plan de distribution rigoureux et un état des stocks récent (attention aux durées de conservation des produits). Sans ces données, il manquerait une étape importante dans l’élaboration de vos prévisions.</t>
  </si>
  <si>
    <t>Pour la 6ème et dernière étape, entrez votre pays de destination, la taille requise de conteneurs et le mode de transport. Ceci est nécessaire pour l'estimation des coûts de transport.</t>
  </si>
  <si>
    <t>Étape 4: entrez pour combien de nouvelles admissions vous souhaitez conserver un stock disponible pour couvrir les urgences nutritionnelles. Ce stock d'urgence sera calculé avec les provisions nécessaires pour le traitement (à l'étape 2), multiplié par ce nombre.</t>
  </si>
  <si>
    <r>
      <t>Aller à la feuille de calcul intitulée "</t>
    </r>
    <r>
      <rPr>
        <b/>
        <sz val="10"/>
        <color indexed="48"/>
        <rFont val="Arial"/>
        <family val="2"/>
      </rPr>
      <t>Output</t>
    </r>
    <r>
      <rPr>
        <sz val="10"/>
        <rFont val="Arial"/>
        <family val="2"/>
      </rPr>
      <t>" pour voir l'ensemble des besoins calculés automatiquement.
Cette fiche peut vous aider pour la planification annuelle et les appels de fonds.</t>
    </r>
  </si>
  <si>
    <r>
      <t xml:space="preserve">La feuille </t>
    </r>
    <r>
      <rPr>
        <b/>
        <sz val="10"/>
        <color indexed="48"/>
        <rFont val="Arial"/>
        <family val="2"/>
      </rPr>
      <t>"Calculation"</t>
    </r>
    <r>
      <rPr>
        <sz val="10"/>
        <rFont val="Arial"/>
        <family val="2"/>
      </rPr>
      <t xml:space="preserve"> présente un résumé des admissions par trimestre, l'ensemble des besoins par trimestre, ainsi qu’une analyse du stock.
Nous espérons que cela pourra vous aider en cours d'année à comparer les chiffres réels des patients et de la consommation avec les prévisions.</t>
    </r>
  </si>
  <si>
    <t>Commencer:</t>
  </si>
  <si>
    <r>
      <t xml:space="preserve">Sur la feuille </t>
    </r>
    <r>
      <rPr>
        <b/>
        <sz val="10"/>
        <color indexed="48"/>
        <rFont val="Arial"/>
        <family val="2"/>
      </rPr>
      <t>"Calculation"</t>
    </r>
    <r>
      <rPr>
        <sz val="10"/>
        <rFont val="Arial"/>
        <family val="2"/>
      </rPr>
      <t xml:space="preserve">, vous pouvez trouver:
</t>
    </r>
  </si>
  <si>
    <t>• Les besoins spécifiques des patients hospitalisés résumés en nombre de sachets / comprimés (tout ou partie) par trimestre.
• Les besoins spécifiques des patients externes résumés en nombre de sachets / comprimés (tout ou partie) par trimestre.
• Analyse de stock, avec des conseils sur votre stock tampon et le nombre d'unités à commander.
• Information sur le coût de la livraison, plus les poids et volumes nets et bruts par produit ainsi que le nombre de conteneurs.</t>
  </si>
  <si>
    <t>ETAPE PAR ETAPE</t>
  </si>
  <si>
    <t>COMO CALCULAR LAS NECESIDADES DE DISTRIBUCION PARA UN PROGRAMA DE ALIMENTACION TERAPEUTICA</t>
  </si>
  <si>
    <r>
      <t xml:space="preserve">Esta predicción está basada en los dos principales componentes de los programas de alimentación terapéutica que requieren insumos:
Tratamiento </t>
    </r>
    <r>
      <rPr>
        <b/>
        <sz val="10"/>
        <color indexed="10"/>
        <rFont val="Arial"/>
        <family val="2"/>
      </rPr>
      <t>Terapéutico Hospitalario</t>
    </r>
    <r>
      <rPr>
        <sz val="10"/>
        <rFont val="Arial"/>
        <family val="2"/>
      </rPr>
      <t xml:space="preserve"> y Tratamiento </t>
    </r>
    <r>
      <rPr>
        <b/>
        <sz val="10"/>
        <color indexed="10"/>
        <rFont val="Arial"/>
        <family val="2"/>
      </rPr>
      <t>Terapéutico Ambulatorio</t>
    </r>
  </si>
  <si>
    <r>
      <t xml:space="preserve">•  Los niños que son admitidos a un centro de cuidado </t>
    </r>
    <r>
      <rPr>
        <b/>
        <sz val="10"/>
        <color indexed="10"/>
        <rFont val="Arial"/>
        <family val="2"/>
      </rPr>
      <t>terapéutico hospitalario</t>
    </r>
    <r>
      <rPr>
        <sz val="10"/>
        <rFont val="Arial"/>
        <family val="2"/>
      </rPr>
      <t xml:space="preserve"> son niños con desnutrición aguda severa o con complicaciones médicas y poco apetito. Nota: En la herramienta de predicción, el número de niños considerados o categorizados como de cuidado hospitalario no necesitan ser incluidos como ambulatorios.</t>
    </r>
  </si>
  <si>
    <r>
      <t xml:space="preserve">•  Los niños admitidos en cuidado </t>
    </r>
    <r>
      <rPr>
        <b/>
        <sz val="10"/>
        <color indexed="10"/>
        <rFont val="Arial"/>
        <family val="2"/>
      </rPr>
      <t>ambulatorio</t>
    </r>
    <r>
      <rPr>
        <sz val="10"/>
        <rFont val="Arial"/>
        <family val="2"/>
      </rPr>
      <t xml:space="preserve"> con desnutrición aguda severa sin complicaciones médicas y con apetito. </t>
    </r>
  </si>
  <si>
    <t xml:space="preserve">Input:
(Aporte) </t>
  </si>
  <si>
    <t>Input example below (Ejemplo de aporte, a continuación)</t>
  </si>
  <si>
    <t>En la hoja "Input" (aporte) como primer paso, ingresar las características demográficas de la población: numero de la población, prevalencia estimada de desnutrición aguda severa utilizando el mismo criterio de identificación utilizado para la admisión a los programas, el porcentaje de niños menores de 5 años y el factor de incidencia (recomendación “2”).</t>
  </si>
  <si>
    <r>
      <t xml:space="preserve">Utilizar la tabla en el Paso 2 para ingresar </t>
    </r>
    <r>
      <rPr>
        <b/>
        <sz val="10"/>
        <color indexed="10"/>
        <rFont val="Arial"/>
        <family val="2"/>
      </rPr>
      <t>la cantidad estimada de insumos necesarios por admisión</t>
    </r>
    <r>
      <rPr>
        <sz val="10"/>
        <color indexed="10"/>
        <rFont val="Arial"/>
        <family val="2"/>
      </rPr>
      <t xml:space="preserve"> </t>
    </r>
    <r>
      <rPr>
        <sz val="10"/>
        <rFont val="Arial"/>
        <family val="2"/>
      </rPr>
      <t>a su programa. (En otras palabras: la cantidad total de productos nutricionales por tratamiento por paciente). Esto es una parte importante de su planeación y predicción: Necesita saber el sistema y protocolos de tratamiento siendo implementados. Esto deberá ser determinado luego de una discusión con sus contrapartes y en base a los insumos de su especialista de logística.
Los números que se dan están basados en guías internacionales de programas incluyendo cuidado hospitalario y ambulatorio.</t>
    </r>
  </si>
  <si>
    <t>Como paso 3, liste el número estimado de nuevas admisiones hospitalarias y ambulatorias por mes. Esto puede estar basado en las admisiones de años previos o una predicción de tendencias. Para propósitos de la planeación, esta herramienta asume que los pacientes admitidos a cuidado hospitalario recibirán también cuidado ambulatorio, mientras que las cifras indicadas como cuidado ambulatorio son para admisiones ambulatorias directamente y que sólo recibirán cuidado ambulatorio.
e.j.: Nuevas admisiones hospitalarias + nuevas admisiones ambulatorias =  número total de admisiones.</t>
  </si>
  <si>
    <t>Paso 4: Indique cuántas nuevas admisiones quiere mantener en almacenaje y a mano para cubrir emergencias nutricionales. Este abastecimiento de emergencia será calculado en base a los insumos necesarios por tratamiento (en el paso 2) multiplicado por este número.</t>
  </si>
  <si>
    <t>En el paso 5, tiene que tomar en consideración los insumos que se tienen en el país y que están siendo entregados (por previa solicitud), incluyendo la cantidad mínima de insumos que se tengan que mantener en existencia como almacenaje de seguridad.  Para este componente se deberá involucrar a su especialista de logística; deberá ser en base a un plan sensato de distribución e información reciente de la cantidad de abastos (tomar en cuenta la vida de almacenaje del producto). Sin esta información su predicción podría estar falta de un paso importante.</t>
  </si>
  <si>
    <t>Como un paso final, indique el país de destino, tamaño de contenedor necesario y método de envío. Esta información es necesaria para la estimación de costo del flete.</t>
  </si>
  <si>
    <r>
      <t xml:space="preserve">Refiérase a la hoja de cálculo llamada </t>
    </r>
    <r>
      <rPr>
        <b/>
        <sz val="10"/>
        <color indexed="39"/>
        <rFont val="Arial"/>
        <family val="2"/>
      </rPr>
      <t>"Output"</t>
    </r>
    <r>
      <rPr>
        <sz val="10"/>
        <rFont val="Arial"/>
        <family val="2"/>
      </rPr>
      <t xml:space="preserve"> para ver un resumen de las necesidades automáticamente calculadas.
Esta hoja puede ayudarlo con su planificación anual y recaudación de fondos.</t>
    </r>
  </si>
  <si>
    <r>
      <t xml:space="preserve">La hoja </t>
    </r>
    <r>
      <rPr>
        <b/>
        <sz val="10"/>
        <color indexed="39"/>
        <rFont val="Arial"/>
        <family val="2"/>
      </rPr>
      <t xml:space="preserve">"Calculation" </t>
    </r>
    <r>
      <rPr>
        <sz val="10"/>
        <rFont val="Arial"/>
        <family val="2"/>
      </rPr>
      <t>provee un resumen de admisiones por cuatrimestre y las necesidades generales por cuatrimestre. En adición, se provee un análisis de productos en existencia con consejos. Esperamos que esto pueda asistirlos durante el año, para comparar los números reales de pacientes y el consumo con su predicción y manejo.</t>
    </r>
  </si>
  <si>
    <r>
      <t xml:space="preserve">En la hoja </t>
    </r>
    <r>
      <rPr>
        <b/>
        <sz val="10"/>
        <color indexed="39"/>
        <rFont val="Arial"/>
        <family val="2"/>
      </rPr>
      <t>"Calculation"</t>
    </r>
    <r>
      <rPr>
        <sz val="10"/>
        <rFont val="Arial"/>
        <family val="2"/>
      </rPr>
      <t xml:space="preserve">, podrá encontrar:
</t>
    </r>
  </si>
  <si>
    <t>• Necesidades específicas para pacientes de tratamiento hospitalario en números de sobrecitos (sachets)/tabletas por unidad) por cuatrimestre.
• Necesidades especificas para pacientes ambulatorios en número  números de sobrecitos (sachets)/tabletas por unidad) por cuatrimestre.
• Análisis de productos en existencia, con consejos sobre sus abastos de reserva y número de unidades a ser ordenadas.
• Información sobre costo de envío, más volumen neto y bruto y peso por producto y número de contenedores.</t>
  </si>
  <si>
    <t>Inicio:</t>
  </si>
  <si>
    <t>Output:
(Salida)</t>
  </si>
  <si>
    <t>PASO A PASO</t>
  </si>
  <si>
    <r>
      <t xml:space="preserve">Esta hoja de cálculo ha sido diseñada para ayudarlo a usted a calcular una predicción de sus necesidades de distribución y costos de distribución para un programa de alimentación terapéutica, basado en los datos que entra en la hoja de </t>
    </r>
    <r>
      <rPr>
        <b/>
        <sz val="10"/>
        <color indexed="39"/>
        <rFont val="Arial"/>
        <family val="2"/>
      </rPr>
      <t>"Input"</t>
    </r>
    <r>
      <rPr>
        <sz val="10"/>
        <rFont val="Arial"/>
        <family val="2"/>
      </rPr>
      <t xml:space="preserve"> (aporte). Luego de haber completado el aporte, una hoja impresa de la hoja de </t>
    </r>
    <r>
      <rPr>
        <b/>
        <sz val="10"/>
        <color indexed="39"/>
        <rFont val="Arial"/>
        <family val="2"/>
      </rPr>
      <t>"Output"</t>
    </r>
    <r>
      <rPr>
        <b/>
        <sz val="10"/>
        <rFont val="Arial"/>
        <family val="2"/>
      </rPr>
      <t xml:space="preserve"> </t>
    </r>
    <r>
      <rPr>
        <sz val="10"/>
        <rFont val="Arial"/>
        <family val="2"/>
      </rPr>
      <t xml:space="preserve">(salida) puede ayudarlo con el presupuesto y recaudación de fondos, mientras que la hoja de </t>
    </r>
    <r>
      <rPr>
        <b/>
        <sz val="10"/>
        <color indexed="39"/>
        <rFont val="Arial"/>
        <family val="2"/>
      </rPr>
      <t xml:space="preserve">"Calculation" </t>
    </r>
    <r>
      <rPr>
        <sz val="10"/>
        <rFont val="Arial"/>
        <family val="2"/>
      </rPr>
      <t>provee más detalles de predicción, para asistirlo a usted en la programación y gerencia de su abastecimiento.</t>
    </r>
  </si>
  <si>
    <t>Number of facilities inpatient</t>
  </si>
  <si>
    <t>Number of facilities outpatient</t>
  </si>
  <si>
    <t>Maximum no. of outpatient facilities per month</t>
  </si>
  <si>
    <t>Maximum no. of inpatient facilities per month</t>
  </si>
  <si>
    <t>Inpatient</t>
  </si>
  <si>
    <t>Outpatient</t>
  </si>
  <si>
    <t>Inpatient : number of Shipping Units</t>
  </si>
  <si>
    <t>Outpatient : number of Shipping Units</t>
  </si>
  <si>
    <t>Routine programmes                         Inpatient</t>
  </si>
  <si>
    <t>OutPatient</t>
  </si>
  <si>
    <t>Nutrition emergencies                        Inpatient</t>
  </si>
  <si>
    <t>• Rates are indicative only &amp; based on current contractual rates. Please contact UNICEF Supply Division for up to date estimates</t>
  </si>
  <si>
    <t>• Last updated December 2011 (Cathy Huddy)</t>
  </si>
  <si>
    <t>Estimated Price (Usd) / Shipping unit (19-Dec-11)</t>
  </si>
  <si>
    <r>
      <t xml:space="preserve">• Freight cost estimate is indicative for shipping rates </t>
    </r>
    <r>
      <rPr>
        <u/>
        <sz val="9"/>
        <color indexed="11"/>
        <rFont val="Arial"/>
        <family val="2"/>
      </rPr>
      <t>from Copenhagen</t>
    </r>
    <r>
      <rPr>
        <sz val="9"/>
        <color indexed="11"/>
        <rFont val="Arial"/>
        <family val="2"/>
      </rPr>
      <t xml:space="preserve"> (last updated Dec.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</si>
</sst>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_(* \(#,##0\);_(* &quot;-&quot;_);_(@_)"/>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_-&quot;$&quot;* #,##0.00_-;\-&quot;$&quot;* #,##0.00_-;_-&quot;$&quot;* &quot;-&quot;??_-;_-@_-"/>
    <numFmt numFmtId="168" formatCode="0.0%"/>
    <numFmt numFmtId="169" formatCode="_-* #,##0.0_-;\-* #,##0.0_-;_-* &quot;-&quot;?_-;_-@_-"/>
    <numFmt numFmtId="170" formatCode="#,##0.0"/>
    <numFmt numFmtId="171" formatCode="0.0"/>
    <numFmt numFmtId="172" formatCode="_(* #,##0.0_);_(* \(#,##0.0\);_(* &quot;-&quot;??_);_(@_)"/>
    <numFmt numFmtId="173" formatCode="[$-F800]dddd\,\ mmmm\ dd\,\ yyyy"/>
  </numFmts>
  <fonts count="76" x14ac:knownFonts="1">
    <font>
      <sz val="10"/>
      <name val="Arial"/>
    </font>
    <font>
      <sz val="12"/>
      <color theme="1"/>
      <name val="Times New Roman"/>
      <family val="2"/>
    </font>
    <font>
      <sz val="10"/>
      <name val="Arial"/>
    </font>
    <font>
      <sz val="8"/>
      <name val="Arial"/>
      <family val="2"/>
    </font>
    <font>
      <b/>
      <sz val="14"/>
      <color indexed="9"/>
      <name val="Arial"/>
      <family val="2"/>
    </font>
    <font>
      <sz val="16"/>
      <color indexed="9"/>
      <name val="Arial"/>
      <family val="2"/>
    </font>
    <font>
      <b/>
      <sz val="16"/>
      <color indexed="9"/>
      <name val="Arial"/>
      <family val="2"/>
    </font>
    <font>
      <sz val="18"/>
      <color indexed="9"/>
      <name val="Arial"/>
      <family val="2"/>
    </font>
    <font>
      <sz val="10"/>
      <name val="Arial"/>
      <family val="2"/>
    </font>
    <font>
      <b/>
      <u/>
      <sz val="10"/>
      <name val="Arial"/>
      <family val="2"/>
    </font>
    <font>
      <u/>
      <sz val="10"/>
      <name val="Arial"/>
      <family val="2"/>
    </font>
    <font>
      <b/>
      <sz val="10"/>
      <name val="Arial"/>
      <family val="2"/>
    </font>
    <font>
      <sz val="10"/>
      <color indexed="12"/>
      <name val="Arial"/>
      <family val="2"/>
    </font>
    <font>
      <sz val="10"/>
      <color indexed="11"/>
      <name val="Arial"/>
      <family val="2"/>
    </font>
    <font>
      <sz val="10"/>
      <color indexed="17"/>
      <name val="Arial"/>
      <family val="2"/>
    </font>
    <font>
      <sz val="10"/>
      <color indexed="10"/>
      <name val="Arial"/>
      <family val="2"/>
    </font>
    <font>
      <b/>
      <sz val="11"/>
      <name val="Arial"/>
      <family val="2"/>
    </font>
    <font>
      <sz val="11"/>
      <name val="Arial"/>
      <family val="2"/>
    </font>
    <font>
      <sz val="6"/>
      <name val="Arial"/>
      <family val="2"/>
    </font>
    <font>
      <b/>
      <sz val="9"/>
      <name val="Arial"/>
      <family val="2"/>
    </font>
    <font>
      <sz val="9"/>
      <name val="Arial"/>
      <family val="2"/>
    </font>
    <font>
      <b/>
      <sz val="8"/>
      <name val="Arial"/>
      <family val="2"/>
    </font>
    <font>
      <sz val="9"/>
      <name val="Arial"/>
      <family val="2"/>
    </font>
    <font>
      <sz val="9"/>
      <color indexed="11"/>
      <name val="Arial"/>
      <family val="2"/>
    </font>
    <font>
      <u/>
      <sz val="9"/>
      <color indexed="12"/>
      <name val="Arial"/>
      <family val="2"/>
    </font>
    <font>
      <u/>
      <sz val="12"/>
      <color indexed="12"/>
      <name val="Arial"/>
      <family val="2"/>
    </font>
    <font>
      <sz val="8"/>
      <color indexed="55"/>
      <name val="Arial"/>
      <family val="2"/>
    </font>
    <font>
      <sz val="7"/>
      <color indexed="11"/>
      <name val="Arial"/>
      <family val="2"/>
    </font>
    <font>
      <sz val="8"/>
      <color indexed="11"/>
      <name val="Arial"/>
      <family val="2"/>
    </font>
    <font>
      <sz val="7"/>
      <name val="Arial"/>
      <family val="2"/>
    </font>
    <font>
      <sz val="7"/>
      <color indexed="11"/>
      <name val="Arial"/>
      <family val="2"/>
    </font>
    <font>
      <b/>
      <sz val="9"/>
      <name val="Arial"/>
      <family val="2"/>
    </font>
    <font>
      <sz val="8"/>
      <color indexed="11"/>
      <name val="Arial"/>
      <family val="2"/>
    </font>
    <font>
      <u/>
      <sz val="9"/>
      <color indexed="11"/>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6"/>
      <name val="Arial"/>
      <family val="2"/>
    </font>
    <font>
      <b/>
      <sz val="8"/>
      <color indexed="9"/>
      <name val="Arial"/>
      <family val="2"/>
    </font>
    <font>
      <sz val="9"/>
      <color indexed="9"/>
      <name val="Arial"/>
      <family val="2"/>
    </font>
    <font>
      <sz val="10"/>
      <color indexed="11"/>
      <name val="Arial"/>
      <family val="2"/>
    </font>
    <font>
      <sz val="8"/>
      <color indexed="9"/>
      <name val="Arial"/>
      <family val="2"/>
    </font>
    <font>
      <sz val="10"/>
      <color indexed="9"/>
      <name val="Arial"/>
      <family val="2"/>
    </font>
    <font>
      <sz val="8"/>
      <color indexed="22"/>
      <name val="Arial"/>
      <family val="2"/>
    </font>
    <font>
      <sz val="10"/>
      <color indexed="9"/>
      <name val="Arial"/>
      <family val="2"/>
    </font>
    <font>
      <sz val="10"/>
      <color indexed="57"/>
      <name val="Arial"/>
      <family val="2"/>
    </font>
    <font>
      <sz val="9"/>
      <color indexed="9"/>
      <name val="Arial"/>
      <family val="2"/>
    </font>
    <font>
      <b/>
      <sz val="8"/>
      <name val="Arial"/>
      <family val="2"/>
    </font>
    <font>
      <b/>
      <sz val="8"/>
      <color indexed="11"/>
      <name val="Arial"/>
      <family val="2"/>
    </font>
    <font>
      <sz val="8"/>
      <color indexed="9"/>
      <name val="Arial"/>
      <family val="2"/>
    </font>
    <font>
      <sz val="14"/>
      <name val="Arial"/>
      <family val="2"/>
    </font>
    <font>
      <b/>
      <sz val="16"/>
      <name val="Arial"/>
      <family val="2"/>
    </font>
    <font>
      <sz val="9"/>
      <color indexed="11"/>
      <name val="Arial"/>
      <family val="2"/>
    </font>
    <font>
      <b/>
      <sz val="12"/>
      <name val="Arial"/>
      <family val="2"/>
    </font>
    <font>
      <b/>
      <sz val="10"/>
      <color indexed="10"/>
      <name val="Arial"/>
      <family val="2"/>
    </font>
    <font>
      <b/>
      <sz val="10"/>
      <color indexed="48"/>
      <name val="Arial"/>
      <family val="2"/>
    </font>
    <font>
      <b/>
      <sz val="12"/>
      <color indexed="9"/>
      <name val="Arial"/>
      <family val="2"/>
    </font>
    <font>
      <b/>
      <sz val="10"/>
      <color indexed="39"/>
      <name val="Arial"/>
      <family val="2"/>
    </font>
    <font>
      <sz val="8"/>
      <color theme="3" tint="0.39997558519241921"/>
      <name val="Arial"/>
      <family val="2"/>
    </font>
    <font>
      <b/>
      <sz val="9"/>
      <color rgb="FF00B050"/>
      <name val="Arial"/>
      <family val="2"/>
    </font>
    <font>
      <sz val="9"/>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s>
  <cellStyleXfs count="47">
    <xf numFmtId="0" fontId="0"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0" fontId="39" fillId="21" borderId="2" applyNumberFormat="0" applyAlignment="0" applyProtection="0"/>
    <xf numFmtId="164" fontId="2" fillId="0" borderId="0" applyFont="0" applyFill="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25" fillId="0" borderId="0" applyNumberFormat="0" applyFill="0" applyBorder="0" applyAlignment="0" applyProtection="0">
      <alignment vertical="top"/>
      <protection locked="0"/>
    </xf>
    <xf numFmtId="0" fontId="45" fillId="7" borderId="1" applyNumberFormat="0" applyAlignment="0" applyProtection="0"/>
    <xf numFmtId="0" fontId="46" fillId="0" borderId="6" applyNumberFormat="0" applyFill="0" applyAlignment="0" applyProtection="0"/>
    <xf numFmtId="0" fontId="47" fillId="22" borderId="0" applyNumberFormat="0" applyBorder="0" applyAlignment="0" applyProtection="0"/>
    <xf numFmtId="0" fontId="2" fillId="23" borderId="7" applyNumberFormat="0" applyFont="0" applyAlignment="0" applyProtection="0"/>
    <xf numFmtId="0" fontId="48" fillId="20" borderId="8" applyNumberFormat="0" applyAlignment="0" applyProtection="0"/>
    <xf numFmtId="0" fontId="49" fillId="0" borderId="0" applyNumberFormat="0" applyFill="0" applyBorder="0" applyAlignment="0" applyProtection="0"/>
    <xf numFmtId="0" fontId="50" fillId="0" borderId="9" applyNumberFormat="0" applyFill="0" applyAlignment="0" applyProtection="0"/>
    <xf numFmtId="0" fontId="51" fillId="0" borderId="0" applyNumberFormat="0" applyFill="0" applyBorder="0" applyAlignment="0" applyProtection="0"/>
    <xf numFmtId="164" fontId="8" fillId="0" borderId="0" applyFont="0" applyFill="0" applyBorder="0" applyAlignment="0" applyProtection="0"/>
    <xf numFmtId="0" fontId="8" fillId="23" borderId="7" applyNumberFormat="0" applyFont="0" applyAlignment="0" applyProtection="0"/>
    <xf numFmtId="0" fontId="1" fillId="0" borderId="0"/>
  </cellStyleXfs>
  <cellXfs count="477">
    <xf numFmtId="0" fontId="0" fillId="0" borderId="0" xfId="0"/>
    <xf numFmtId="0" fontId="4" fillId="24" borderId="0" xfId="0" applyFont="1" applyFill="1" applyProtection="1"/>
    <xf numFmtId="0" fontId="5" fillId="24" borderId="0" xfId="0" applyFont="1" applyFill="1" applyProtection="1"/>
    <xf numFmtId="0" fontId="6" fillId="24" borderId="0" xfId="0" applyNumberFormat="1" applyFont="1" applyFill="1" applyAlignment="1" applyProtection="1">
      <alignment horizontal="left" wrapText="1"/>
    </xf>
    <xf numFmtId="0" fontId="6" fillId="24" borderId="0" xfId="0" applyNumberFormat="1" applyFont="1" applyFill="1" applyAlignment="1" applyProtection="1">
      <alignment horizontal="left"/>
    </xf>
    <xf numFmtId="0" fontId="5" fillId="24" borderId="0" xfId="0" applyNumberFormat="1" applyFont="1" applyFill="1" applyAlignment="1" applyProtection="1">
      <alignment horizontal="left"/>
    </xf>
    <xf numFmtId="0" fontId="5" fillId="24" borderId="0" xfId="0" applyNumberFormat="1" applyFont="1" applyFill="1" applyAlignment="1" applyProtection="1">
      <alignment wrapText="1"/>
    </xf>
    <xf numFmtId="0" fontId="7" fillId="24" borderId="0" xfId="0" applyNumberFormat="1" applyFont="1" applyFill="1" applyAlignment="1" applyProtection="1">
      <alignment wrapText="1"/>
    </xf>
    <xf numFmtId="0" fontId="8" fillId="0" borderId="0" xfId="0" applyFont="1"/>
    <xf numFmtId="0" fontId="8" fillId="0" borderId="0" xfId="0" applyFont="1" applyAlignment="1">
      <alignment horizontal="left" vertical="top" wrapText="1"/>
    </xf>
    <xf numFmtId="0" fontId="9" fillId="25" borderId="10" xfId="0" applyFont="1" applyFill="1" applyBorder="1" applyProtection="1"/>
    <xf numFmtId="0" fontId="10" fillId="25" borderId="11" xfId="0" applyFont="1" applyFill="1" applyBorder="1" applyProtection="1"/>
    <xf numFmtId="0" fontId="8" fillId="25" borderId="11" xfId="0" applyFont="1" applyFill="1" applyBorder="1" applyProtection="1"/>
    <xf numFmtId="0" fontId="11" fillId="25" borderId="11" xfId="0" applyNumberFormat="1" applyFont="1" applyFill="1" applyBorder="1" applyAlignment="1" applyProtection="1">
      <alignment horizontal="left" wrapText="1"/>
    </xf>
    <xf numFmtId="0" fontId="8" fillId="25" borderId="12" xfId="0" applyFont="1" applyFill="1" applyBorder="1" applyProtection="1"/>
    <xf numFmtId="0" fontId="8" fillId="25" borderId="0" xfId="0" applyFont="1" applyFill="1" applyBorder="1" applyProtection="1"/>
    <xf numFmtId="0" fontId="12" fillId="25" borderId="0" xfId="0" applyFont="1" applyFill="1" applyBorder="1" applyAlignment="1" applyProtection="1">
      <alignment wrapText="1"/>
    </xf>
    <xf numFmtId="0" fontId="11" fillId="25" borderId="0" xfId="0" applyNumberFormat="1" applyFont="1" applyFill="1" applyBorder="1" applyAlignment="1" applyProtection="1">
      <alignment horizontal="left" wrapText="1"/>
    </xf>
    <xf numFmtId="0" fontId="8" fillId="25" borderId="13" xfId="0" applyFont="1" applyFill="1" applyBorder="1" applyProtection="1"/>
    <xf numFmtId="0" fontId="8" fillId="25" borderId="14" xfId="0" applyFont="1" applyFill="1" applyBorder="1" applyProtection="1"/>
    <xf numFmtId="0" fontId="11" fillId="25" borderId="14" xfId="0" applyNumberFormat="1" applyFont="1" applyFill="1" applyBorder="1" applyAlignment="1" applyProtection="1">
      <alignment horizontal="left" wrapText="1"/>
    </xf>
    <xf numFmtId="0" fontId="16" fillId="0" borderId="0" xfId="0" applyFont="1" applyBorder="1" applyAlignment="1">
      <alignment horizontal="left" vertical="top"/>
    </xf>
    <xf numFmtId="0" fontId="8" fillId="0" borderId="0" xfId="0" applyFont="1" applyBorder="1"/>
    <xf numFmtId="0" fontId="20" fillId="0" borderId="0" xfId="0" applyFont="1"/>
    <xf numFmtId="0" fontId="21" fillId="25" borderId="15" xfId="0" applyFont="1" applyFill="1" applyBorder="1" applyAlignment="1">
      <alignment horizontal="center" wrapText="1"/>
    </xf>
    <xf numFmtId="167" fontId="20" fillId="26" borderId="16" xfId="0" applyNumberFormat="1" applyFont="1" applyFill="1" applyBorder="1" applyProtection="1">
      <protection locked="0"/>
    </xf>
    <xf numFmtId="0" fontId="23" fillId="0" borderId="0" xfId="0" applyFont="1"/>
    <xf numFmtId="165" fontId="20" fillId="26" borderId="17" xfId="28" applyNumberFormat="1" applyFont="1" applyFill="1" applyBorder="1" applyAlignment="1" applyProtection="1">
      <alignment horizontal="right" vertical="top" wrapText="1"/>
      <protection locked="0"/>
    </xf>
    <xf numFmtId="168" fontId="20" fillId="26" borderId="18" xfId="0" applyNumberFormat="1" applyFont="1" applyFill="1" applyBorder="1" applyAlignment="1" applyProtection="1">
      <alignment horizontal="right" vertical="top" wrapText="1"/>
      <protection locked="0"/>
    </xf>
    <xf numFmtId="0" fontId="20" fillId="0" borderId="19" xfId="0" applyFont="1" applyFill="1" applyBorder="1" applyAlignment="1">
      <alignment vertical="top" wrapText="1"/>
    </xf>
    <xf numFmtId="0" fontId="22" fillId="0" borderId="0" xfId="0" applyFont="1"/>
    <xf numFmtId="0" fontId="22" fillId="0" borderId="0" xfId="0" applyFont="1" applyBorder="1"/>
    <xf numFmtId="0" fontId="0" fillId="27" borderId="16" xfId="0" applyFill="1" applyBorder="1"/>
    <xf numFmtId="0" fontId="11" fillId="25" borderId="16" xfId="0" applyFont="1" applyFill="1" applyBorder="1"/>
    <xf numFmtId="0" fontId="11" fillId="0" borderId="0" xfId="0" applyFont="1"/>
    <xf numFmtId="0" fontId="0" fillId="0" borderId="16" xfId="0" applyBorder="1"/>
    <xf numFmtId="9" fontId="20" fillId="26" borderId="16" xfId="0" applyNumberFormat="1" applyFont="1" applyFill="1" applyBorder="1" applyProtection="1">
      <protection locked="0"/>
    </xf>
    <xf numFmtId="4" fontId="20" fillId="26" borderId="16" xfId="0" applyNumberFormat="1" applyFont="1" applyFill="1" applyBorder="1" applyProtection="1">
      <protection locked="0"/>
    </xf>
    <xf numFmtId="0" fontId="23" fillId="0" borderId="0" xfId="0" applyFont="1" applyAlignment="1">
      <alignment vertical="center"/>
    </xf>
    <xf numFmtId="0" fontId="22" fillId="26" borderId="16" xfId="0" applyFont="1" applyFill="1" applyBorder="1" applyAlignment="1" applyProtection="1">
      <protection locked="0"/>
    </xf>
    <xf numFmtId="0" fontId="21" fillId="25" borderId="20" xfId="0" applyFont="1" applyFill="1" applyBorder="1"/>
    <xf numFmtId="3" fontId="20" fillId="26" borderId="16" xfId="0" applyNumberFormat="1" applyFont="1" applyFill="1" applyBorder="1" applyProtection="1">
      <protection locked="0"/>
    </xf>
    <xf numFmtId="0" fontId="4" fillId="24" borderId="0" xfId="0" applyFont="1" applyFill="1" applyAlignment="1" applyProtection="1">
      <alignment horizontal="left"/>
    </xf>
    <xf numFmtId="0" fontId="52" fillId="24" borderId="0" xfId="0" applyFont="1" applyFill="1"/>
    <xf numFmtId="0" fontId="16" fillId="0" borderId="0" xfId="0" applyFont="1" applyAlignment="1">
      <alignment horizontal="left" vertical="top"/>
    </xf>
    <xf numFmtId="0" fontId="22" fillId="0" borderId="0" xfId="0" applyFont="1" applyAlignment="1">
      <alignment horizontal="right"/>
    </xf>
    <xf numFmtId="3" fontId="22" fillId="0" borderId="16" xfId="0" applyNumberFormat="1" applyFont="1" applyFill="1" applyBorder="1" applyAlignment="1"/>
    <xf numFmtId="0" fontId="53" fillId="0" borderId="0" xfId="0" applyFont="1" applyFill="1" applyBorder="1" applyAlignment="1">
      <alignment horizontal="right" vertical="top" wrapText="1"/>
    </xf>
    <xf numFmtId="0" fontId="54" fillId="0" borderId="0" xfId="0" applyFont="1"/>
    <xf numFmtId="170" fontId="20" fillId="0" borderId="21" xfId="0" applyNumberFormat="1" applyFont="1" applyBorder="1"/>
    <xf numFmtId="3" fontId="20" fillId="0" borderId="21" xfId="0" applyNumberFormat="1" applyFont="1" applyBorder="1"/>
    <xf numFmtId="170" fontId="20" fillId="0" borderId="22" xfId="0" applyNumberFormat="1" applyFont="1" applyBorder="1"/>
    <xf numFmtId="0" fontId="0" fillId="0" borderId="21" xfId="0" applyBorder="1"/>
    <xf numFmtId="0" fontId="20" fillId="0" borderId="22" xfId="0" applyFont="1" applyFill="1" applyBorder="1" applyAlignment="1">
      <alignment vertical="top" wrapText="1"/>
    </xf>
    <xf numFmtId="3" fontId="20" fillId="0" borderId="21" xfId="0" applyNumberFormat="1" applyFont="1" applyFill="1" applyBorder="1" applyAlignment="1"/>
    <xf numFmtId="0" fontId="20" fillId="0" borderId="23" xfId="0" applyFont="1" applyFill="1" applyBorder="1" applyAlignment="1">
      <alignment vertical="top" wrapText="1"/>
    </xf>
    <xf numFmtId="0" fontId="20" fillId="0" borderId="24" xfId="0" applyFont="1" applyFill="1" applyBorder="1" applyAlignment="1">
      <alignment vertical="top" wrapText="1"/>
    </xf>
    <xf numFmtId="3" fontId="20" fillId="0" borderId="25" xfId="0" applyNumberFormat="1" applyFont="1" applyFill="1" applyBorder="1" applyAlignment="1"/>
    <xf numFmtId="0" fontId="20" fillId="0" borderId="13" xfId="0" applyFont="1" applyFill="1" applyBorder="1" applyAlignment="1">
      <alignment vertical="top" wrapText="1"/>
    </xf>
    <xf numFmtId="0" fontId="20" fillId="0" borderId="12" xfId="0" applyFont="1" applyFill="1" applyBorder="1" applyAlignment="1">
      <alignmen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0" fillId="0" borderId="0" xfId="0" applyBorder="1"/>
    <xf numFmtId="3" fontId="20" fillId="0" borderId="27" xfId="0" applyNumberFormat="1" applyFont="1" applyFill="1" applyBorder="1" applyAlignment="1"/>
    <xf numFmtId="0" fontId="20" fillId="0" borderId="28" xfId="0" applyFont="1" applyBorder="1"/>
    <xf numFmtId="3" fontId="19" fillId="0" borderId="0" xfId="0" applyNumberFormat="1" applyFont="1" applyFill="1" applyBorder="1" applyAlignment="1"/>
    <xf numFmtId="3" fontId="19" fillId="0" borderId="29" xfId="0" applyNumberFormat="1" applyFont="1" applyFill="1" applyBorder="1" applyAlignment="1"/>
    <xf numFmtId="3" fontId="19" fillId="0" borderId="30" xfId="0" applyNumberFormat="1" applyFont="1" applyFill="1" applyBorder="1" applyAlignment="1"/>
    <xf numFmtId="3" fontId="19" fillId="0" borderId="31" xfId="0" applyNumberFormat="1" applyFont="1" applyFill="1" applyBorder="1" applyAlignment="1"/>
    <xf numFmtId="3" fontId="19" fillId="0" borderId="32" xfId="0" applyNumberFormat="1" applyFont="1" applyFill="1" applyBorder="1" applyAlignment="1"/>
    <xf numFmtId="0" fontId="16" fillId="0" borderId="0" xfId="0" applyFont="1" applyAlignment="1">
      <alignment horizontal="left" vertical="center"/>
    </xf>
    <xf numFmtId="3" fontId="22" fillId="0" borderId="27" xfId="0" applyNumberFormat="1" applyFont="1" applyBorder="1" applyAlignment="1">
      <alignment horizontal="right"/>
    </xf>
    <xf numFmtId="170" fontId="22" fillId="0" borderId="27" xfId="0" applyNumberFormat="1" applyFont="1" applyBorder="1"/>
    <xf numFmtId="3" fontId="22" fillId="0" borderId="21" xfId="0" applyNumberFormat="1" applyFont="1" applyBorder="1" applyAlignment="1">
      <alignment horizontal="right"/>
    </xf>
    <xf numFmtId="170" fontId="22" fillId="0" borderId="21" xfId="0" applyNumberFormat="1" applyFont="1" applyBorder="1"/>
    <xf numFmtId="3" fontId="22" fillId="0" borderId="33" xfId="0" applyNumberFormat="1" applyFont="1" applyBorder="1"/>
    <xf numFmtId="170" fontId="22" fillId="0" borderId="34" xfId="0" applyNumberFormat="1" applyFont="1" applyBorder="1"/>
    <xf numFmtId="3" fontId="22" fillId="0" borderId="35" xfId="0" applyNumberFormat="1" applyFont="1" applyBorder="1"/>
    <xf numFmtId="170" fontId="22" fillId="0" borderId="36" xfId="0" applyNumberFormat="1" applyFont="1" applyBorder="1"/>
    <xf numFmtId="3" fontId="22" fillId="0" borderId="37" xfId="0" applyNumberFormat="1" applyFont="1" applyBorder="1"/>
    <xf numFmtId="3" fontId="22" fillId="0" borderId="25" xfId="0" applyNumberFormat="1" applyFont="1" applyBorder="1" applyAlignment="1">
      <alignment horizontal="right"/>
    </xf>
    <xf numFmtId="170" fontId="22" fillId="0" borderId="25" xfId="0" applyNumberFormat="1" applyFont="1" applyBorder="1"/>
    <xf numFmtId="170" fontId="22" fillId="0" borderId="38" xfId="0" applyNumberFormat="1" applyFont="1" applyBorder="1"/>
    <xf numFmtId="0" fontId="22" fillId="0" borderId="33" xfId="0" applyFont="1" applyBorder="1"/>
    <xf numFmtId="0" fontId="22" fillId="0" borderId="35" xfId="0" applyFont="1" applyBorder="1"/>
    <xf numFmtId="0" fontId="22" fillId="0" borderId="37" xfId="0" applyFont="1" applyBorder="1"/>
    <xf numFmtId="0" fontId="16" fillId="0" borderId="0" xfId="0" applyFont="1" applyAlignment="1">
      <alignment horizontal="left"/>
    </xf>
    <xf numFmtId="0" fontId="3" fillId="0" borderId="0" xfId="0" applyFont="1"/>
    <xf numFmtId="0" fontId="3" fillId="0" borderId="0" xfId="0" quotePrefix="1" applyFont="1"/>
    <xf numFmtId="0" fontId="59" fillId="0" borderId="0" xfId="0" applyFont="1"/>
    <xf numFmtId="0" fontId="21" fillId="25" borderId="39" xfId="0" applyFont="1" applyFill="1" applyBorder="1" applyAlignment="1">
      <alignment horizontal="center" wrapText="1"/>
    </xf>
    <xf numFmtId="0" fontId="55" fillId="0" borderId="0" xfId="0" applyFont="1" applyBorder="1"/>
    <xf numFmtId="170" fontId="20" fillId="0" borderId="24" xfId="0" applyNumberFormat="1" applyFont="1" applyBorder="1"/>
    <xf numFmtId="0" fontId="0" fillId="0" borderId="25" xfId="0" applyBorder="1"/>
    <xf numFmtId="170" fontId="20" fillId="0" borderId="25" xfId="0" applyNumberFormat="1" applyFont="1" applyBorder="1"/>
    <xf numFmtId="3" fontId="20" fillId="0" borderId="25" xfId="0" applyNumberFormat="1" applyFont="1" applyBorder="1"/>
    <xf numFmtId="0" fontId="21" fillId="25" borderId="40" xfId="0" applyFont="1" applyFill="1" applyBorder="1" applyAlignment="1">
      <alignment vertical="top" wrapText="1"/>
    </xf>
    <xf numFmtId="0" fontId="60" fillId="0" borderId="0" xfId="0" applyFont="1" applyBorder="1"/>
    <xf numFmtId="171" fontId="0" fillId="0" borderId="0" xfId="0" applyNumberFormat="1"/>
    <xf numFmtId="0" fontId="27" fillId="0" borderId="41" xfId="0" applyFont="1" applyBorder="1"/>
    <xf numFmtId="0" fontId="27" fillId="0" borderId="42" xfId="0" applyFont="1" applyBorder="1"/>
    <xf numFmtId="0" fontId="27" fillId="0" borderId="43" xfId="0" applyFont="1" applyBorder="1"/>
    <xf numFmtId="0" fontId="21" fillId="25" borderId="44" xfId="0" applyFont="1" applyFill="1" applyBorder="1"/>
    <xf numFmtId="0" fontId="21" fillId="25" borderId="15" xfId="0" applyFont="1" applyFill="1" applyBorder="1" applyAlignment="1">
      <alignment vertical="top" wrapText="1"/>
    </xf>
    <xf numFmtId="44" fontId="22" fillId="0" borderId="0" xfId="0" applyNumberFormat="1" applyFont="1" applyBorder="1" applyAlignment="1">
      <alignment horizontal="center"/>
    </xf>
    <xf numFmtId="0" fontId="22" fillId="0" borderId="20" xfId="0" applyFont="1" applyBorder="1"/>
    <xf numFmtId="0" fontId="22" fillId="0" borderId="39" xfId="0" applyFont="1" applyBorder="1"/>
    <xf numFmtId="9" fontId="22" fillId="0" borderId="0" xfId="0" applyNumberFormat="1" applyFont="1" applyBorder="1" applyAlignment="1">
      <alignment horizontal="right"/>
    </xf>
    <xf numFmtId="44" fontId="22" fillId="0" borderId="0" xfId="0" applyNumberFormat="1" applyFont="1" applyBorder="1" applyAlignment="1">
      <alignment horizontal="right"/>
    </xf>
    <xf numFmtId="0" fontId="19" fillId="0" borderId="39" xfId="0" applyFont="1" applyBorder="1"/>
    <xf numFmtId="0" fontId="21" fillId="25" borderId="45" xfId="0" quotePrefix="1" applyFont="1" applyFill="1" applyBorder="1" applyAlignment="1">
      <alignment horizontal="center" vertical="top" wrapText="1"/>
    </xf>
    <xf numFmtId="0" fontId="21" fillId="25" borderId="15" xfId="0" quotePrefix="1" applyFont="1" applyFill="1" applyBorder="1" applyAlignment="1">
      <alignment horizontal="center" vertical="top" wrapText="1"/>
    </xf>
    <xf numFmtId="43" fontId="20" fillId="0" borderId="27" xfId="0" applyNumberFormat="1" applyFont="1" applyBorder="1" applyAlignment="1"/>
    <xf numFmtId="43" fontId="20" fillId="0" borderId="34" xfId="0" applyNumberFormat="1" applyFont="1" applyBorder="1" applyAlignment="1"/>
    <xf numFmtId="43" fontId="20" fillId="0" borderId="21" xfId="0" applyNumberFormat="1" applyFont="1" applyBorder="1" applyAlignment="1"/>
    <xf numFmtId="43" fontId="20" fillId="0" borderId="36" xfId="0" applyNumberFormat="1" applyFont="1" applyBorder="1" applyAlignment="1"/>
    <xf numFmtId="43" fontId="20" fillId="0" borderId="25" xfId="0" applyNumberFormat="1" applyFont="1" applyBorder="1" applyAlignment="1"/>
    <xf numFmtId="43" fontId="20" fillId="0" borderId="38" xfId="0" applyNumberFormat="1" applyFont="1" applyBorder="1" applyAlignment="1"/>
    <xf numFmtId="0" fontId="31" fillId="0" borderId="39" xfId="0" applyFont="1" applyBorder="1"/>
    <xf numFmtId="169" fontId="20" fillId="0" borderId="0" xfId="0" applyNumberFormat="1" applyFont="1" applyBorder="1"/>
    <xf numFmtId="169" fontId="20" fillId="0" borderId="43" xfId="0" applyNumberFormat="1" applyFont="1" applyBorder="1"/>
    <xf numFmtId="169" fontId="22" fillId="0" borderId="39" xfId="0" applyNumberFormat="1" applyFont="1" applyBorder="1"/>
    <xf numFmtId="41" fontId="20" fillId="0" borderId="26" xfId="0" applyNumberFormat="1" applyFont="1" applyBorder="1"/>
    <xf numFmtId="41" fontId="20" fillId="0" borderId="22" xfId="0" applyNumberFormat="1" applyFont="1" applyBorder="1"/>
    <xf numFmtId="41" fontId="20" fillId="0" borderId="24" xfId="0" applyNumberFormat="1" applyFont="1" applyBorder="1"/>
    <xf numFmtId="43" fontId="22" fillId="0" borderId="39" xfId="0" applyNumberFormat="1" applyFont="1" applyBorder="1"/>
    <xf numFmtId="43" fontId="22" fillId="0" borderId="45" xfId="0" applyNumberFormat="1" applyFont="1" applyBorder="1"/>
    <xf numFmtId="0" fontId="3" fillId="0" borderId="0" xfId="0" applyFont="1" applyAlignment="1">
      <alignment horizontal="right"/>
    </xf>
    <xf numFmtId="0" fontId="62" fillId="0" borderId="0" xfId="0" applyFont="1" applyAlignment="1">
      <alignment vertical="center"/>
    </xf>
    <xf numFmtId="0" fontId="63" fillId="0" borderId="0" xfId="0" applyFont="1" applyAlignment="1">
      <alignment vertical="center"/>
    </xf>
    <xf numFmtId="0" fontId="59" fillId="0" borderId="0" xfId="0" applyFont="1" applyAlignment="1">
      <alignment horizontal="right"/>
    </xf>
    <xf numFmtId="0" fontId="64" fillId="0" borderId="0" xfId="0" applyFont="1" applyAlignment="1">
      <alignment horizontal="right" wrapText="1"/>
    </xf>
    <xf numFmtId="170" fontId="61" fillId="0" borderId="0" xfId="0" applyNumberFormat="1" applyFont="1"/>
    <xf numFmtId="0" fontId="61" fillId="0" borderId="0" xfId="0" applyFont="1"/>
    <xf numFmtId="0" fontId="16" fillId="0" borderId="0" xfId="0" applyFont="1" applyAlignment="1">
      <alignment vertical="center"/>
    </xf>
    <xf numFmtId="0" fontId="20" fillId="0" borderId="37" xfId="0" applyFont="1" applyBorder="1" applyAlignment="1">
      <alignment horizontal="left" vertical="top" wrapText="1"/>
    </xf>
    <xf numFmtId="3" fontId="20" fillId="26" borderId="46" xfId="0" applyNumberFormat="1" applyFont="1" applyFill="1" applyBorder="1" applyProtection="1">
      <protection locked="0"/>
    </xf>
    <xf numFmtId="0" fontId="16" fillId="0" borderId="0" xfId="0" applyFont="1"/>
    <xf numFmtId="0" fontId="65" fillId="24" borderId="0" xfId="0" applyFont="1" applyFill="1"/>
    <xf numFmtId="0" fontId="66" fillId="0" borderId="0" xfId="0" applyFont="1" applyAlignment="1">
      <alignment horizontal="center"/>
    </xf>
    <xf numFmtId="0" fontId="8" fillId="0" borderId="0" xfId="0" applyFont="1" applyAlignment="1">
      <alignment horizontal="center"/>
    </xf>
    <xf numFmtId="0" fontId="8" fillId="0" borderId="14" xfId="0" applyFont="1" applyBorder="1"/>
    <xf numFmtId="0" fontId="8" fillId="0" borderId="0" xfId="0" applyFont="1" applyAlignment="1">
      <alignment horizontal="left" wrapText="1"/>
    </xf>
    <xf numFmtId="0" fontId="19" fillId="25" borderId="16" xfId="0" applyFont="1" applyFill="1" applyBorder="1" applyAlignment="1">
      <alignment horizontal="left" vertical="center" wrapText="1"/>
    </xf>
    <xf numFmtId="0" fontId="19" fillId="25" borderId="16" xfId="0" applyFont="1" applyFill="1" applyBorder="1" applyAlignment="1">
      <alignment horizontal="center" vertical="center" wrapText="1"/>
    </xf>
    <xf numFmtId="0" fontId="19" fillId="25" borderId="47" xfId="0" applyFont="1" applyFill="1" applyBorder="1" applyAlignment="1">
      <alignment horizontal="center" vertical="center" wrapText="1"/>
    </xf>
    <xf numFmtId="0" fontId="19" fillId="25" borderId="48" xfId="0" applyFont="1" applyFill="1" applyBorder="1" applyAlignment="1">
      <alignment horizontal="center" vertical="center" wrapText="1"/>
    </xf>
    <xf numFmtId="0" fontId="20" fillId="0" borderId="49" xfId="0" applyFont="1" applyBorder="1"/>
    <xf numFmtId="37" fontId="20" fillId="0" borderId="21" xfId="0" applyNumberFormat="1" applyFont="1" applyBorder="1"/>
    <xf numFmtId="0" fontId="19" fillId="0" borderId="20" xfId="0" applyFont="1" applyFill="1" applyBorder="1"/>
    <xf numFmtId="37" fontId="19" fillId="0" borderId="50" xfId="0" applyNumberFormat="1" applyFont="1" applyBorder="1"/>
    <xf numFmtId="0" fontId="20" fillId="0" borderId="21" xfId="0" applyFont="1" applyBorder="1"/>
    <xf numFmtId="0" fontId="20" fillId="0" borderId="51" xfId="0" applyFont="1" applyBorder="1"/>
    <xf numFmtId="172" fontId="20" fillId="0" borderId="49" xfId="0" applyNumberFormat="1" applyFont="1" applyBorder="1"/>
    <xf numFmtId="0" fontId="20" fillId="0" borderId="42" xfId="0" applyFont="1" applyBorder="1"/>
    <xf numFmtId="172" fontId="20" fillId="0" borderId="21" xfId="0" applyNumberFormat="1" applyFont="1" applyBorder="1"/>
    <xf numFmtId="172" fontId="20" fillId="0" borderId="28" xfId="0" applyNumberFormat="1" applyFont="1" applyBorder="1"/>
    <xf numFmtId="0" fontId="19" fillId="25" borderId="52" xfId="0" applyFont="1" applyFill="1" applyBorder="1" applyAlignment="1">
      <alignment horizontal="center" vertical="center" wrapText="1"/>
    </xf>
    <xf numFmtId="44" fontId="20" fillId="0" borderId="49" xfId="0" applyNumberFormat="1" applyFont="1" applyBorder="1"/>
    <xf numFmtId="44" fontId="20" fillId="0" borderId="51" xfId="0" applyNumberFormat="1" applyFont="1" applyBorder="1"/>
    <xf numFmtId="44" fontId="20" fillId="0" borderId="21" xfId="0" applyNumberFormat="1" applyFont="1" applyBorder="1"/>
    <xf numFmtId="44" fontId="20" fillId="0" borderId="42" xfId="0" applyNumberFormat="1" applyFont="1" applyBorder="1"/>
    <xf numFmtId="0" fontId="11" fillId="0" borderId="44" xfId="0" applyFont="1" applyBorder="1"/>
    <xf numFmtId="44" fontId="19" fillId="0" borderId="50" xfId="0" applyNumberFormat="1" applyFont="1" applyBorder="1"/>
    <xf numFmtId="37" fontId="20" fillId="0" borderId="42" xfId="0" applyNumberFormat="1" applyFont="1" applyBorder="1"/>
    <xf numFmtId="0" fontId="20" fillId="0" borderId="49" xfId="0" applyFont="1" applyBorder="1" applyAlignment="1">
      <alignment horizontal="right"/>
    </xf>
    <xf numFmtId="0" fontId="20" fillId="0" borderId="21" xfId="0" applyFont="1" applyBorder="1" applyAlignment="1">
      <alignment horizontal="right"/>
    </xf>
    <xf numFmtId="0" fontId="20" fillId="0" borderId="21" xfId="0" applyFont="1" applyFill="1" applyBorder="1" applyAlignment="1">
      <alignment horizontal="right"/>
    </xf>
    <xf numFmtId="0" fontId="20" fillId="0" borderId="28" xfId="0" applyFont="1" applyBorder="1" applyAlignment="1">
      <alignment horizontal="right"/>
    </xf>
    <xf numFmtId="37" fontId="20" fillId="0" borderId="28" xfId="0" applyNumberFormat="1" applyFont="1" applyBorder="1"/>
    <xf numFmtId="37" fontId="20" fillId="0" borderId="53" xfId="0" applyNumberFormat="1" applyFont="1" applyBorder="1"/>
    <xf numFmtId="0" fontId="21" fillId="25" borderId="15" xfId="0" applyFont="1" applyFill="1" applyBorder="1" applyAlignment="1">
      <alignment horizontal="right" vertical="center" wrapText="1"/>
    </xf>
    <xf numFmtId="0" fontId="21" fillId="25" borderId="54" xfId="0" applyFont="1" applyFill="1" applyBorder="1" applyAlignment="1">
      <alignment horizontal="right" vertical="center" wrapText="1"/>
    </xf>
    <xf numFmtId="0" fontId="21" fillId="25" borderId="20" xfId="0" applyFont="1" applyFill="1" applyBorder="1" applyAlignment="1">
      <alignment vertical="center"/>
    </xf>
    <xf numFmtId="0" fontId="21" fillId="25" borderId="39" xfId="0" applyFont="1" applyFill="1" applyBorder="1" applyAlignment="1">
      <alignment horizontal="right" vertical="center"/>
    </xf>
    <xf numFmtId="0" fontId="21" fillId="25" borderId="40" xfId="0" applyFont="1" applyFill="1" applyBorder="1" applyAlignment="1">
      <alignment horizontal="right" vertical="center" wrapText="1"/>
    </xf>
    <xf numFmtId="0" fontId="21" fillId="25" borderId="50" xfId="0" applyFont="1" applyFill="1" applyBorder="1" applyAlignment="1">
      <alignment horizontal="right" vertical="center" wrapText="1"/>
    </xf>
    <xf numFmtId="37" fontId="19" fillId="0" borderId="15" xfId="0" applyNumberFormat="1" applyFont="1" applyBorder="1"/>
    <xf numFmtId="37" fontId="19" fillId="0" borderId="40" xfId="0" applyNumberFormat="1" applyFont="1" applyBorder="1"/>
    <xf numFmtId="169" fontId="20" fillId="0" borderId="49" xfId="0" applyNumberFormat="1" applyFont="1" applyBorder="1"/>
    <xf numFmtId="169" fontId="20" fillId="0" borderId="55" xfId="0" applyNumberFormat="1" applyFont="1" applyBorder="1"/>
    <xf numFmtId="169" fontId="20" fillId="0" borderId="21" xfId="0" applyNumberFormat="1" applyFont="1" applyBorder="1"/>
    <xf numFmtId="169" fontId="20" fillId="0" borderId="36" xfId="0" applyNumberFormat="1" applyFont="1" applyBorder="1"/>
    <xf numFmtId="169" fontId="20" fillId="0" borderId="25" xfId="0" applyNumberFormat="1" applyFont="1" applyBorder="1"/>
    <xf numFmtId="169" fontId="20" fillId="0" borderId="38" xfId="0" applyNumberFormat="1" applyFont="1" applyBorder="1"/>
    <xf numFmtId="0" fontId="20" fillId="0" borderId="33" xfId="0" applyFont="1" applyBorder="1" applyAlignment="1">
      <alignment horizontal="left" vertical="top" wrapText="1"/>
    </xf>
    <xf numFmtId="3" fontId="20" fillId="0" borderId="27" xfId="0" applyNumberFormat="1" applyFont="1" applyBorder="1" applyAlignment="1">
      <alignment horizontal="right" vertical="top" wrapText="1"/>
    </xf>
    <xf numFmtId="0" fontId="20" fillId="0" borderId="35" xfId="0" applyFont="1" applyBorder="1" applyAlignment="1">
      <alignment horizontal="left" vertical="top" wrapText="1"/>
    </xf>
    <xf numFmtId="3" fontId="20" fillId="0" borderId="21" xfId="0" applyNumberFormat="1" applyFont="1" applyBorder="1" applyAlignment="1">
      <alignment horizontal="right" vertical="top" wrapText="1"/>
    </xf>
    <xf numFmtId="3" fontId="20" fillId="0" borderId="25" xfId="0" applyNumberFormat="1" applyFont="1" applyBorder="1" applyAlignment="1">
      <alignment horizontal="right" vertical="top" wrapText="1"/>
    </xf>
    <xf numFmtId="169" fontId="20" fillId="0" borderId="28" xfId="0" applyNumberFormat="1" applyFont="1" applyBorder="1"/>
    <xf numFmtId="169" fontId="22" fillId="0" borderId="55" xfId="0" applyNumberFormat="1" applyFont="1" applyBorder="1"/>
    <xf numFmtId="169" fontId="22" fillId="0" borderId="36" xfId="0" applyNumberFormat="1" applyFont="1" applyBorder="1"/>
    <xf numFmtId="169" fontId="22" fillId="0" borderId="56" xfId="0" applyNumberFormat="1" applyFont="1" applyBorder="1"/>
    <xf numFmtId="172" fontId="20" fillId="0" borderId="0" xfId="0" applyNumberFormat="1" applyFont="1" applyBorder="1"/>
    <xf numFmtId="169" fontId="22" fillId="0" borderId="0" xfId="0" applyNumberFormat="1" applyFont="1" applyBorder="1"/>
    <xf numFmtId="165" fontId="20" fillId="0" borderId="0" xfId="0" applyNumberFormat="1" applyFont="1" applyBorder="1"/>
    <xf numFmtId="44" fontId="19" fillId="0" borderId="57" xfId="0" applyNumberFormat="1" applyFont="1" applyBorder="1"/>
    <xf numFmtId="44" fontId="19" fillId="0" borderId="39" xfId="0" applyNumberFormat="1" applyFont="1" applyBorder="1"/>
    <xf numFmtId="171" fontId="20" fillId="26" borderId="18" xfId="0" applyNumberFormat="1" applyFont="1" applyFill="1" applyBorder="1" applyAlignment="1" applyProtection="1">
      <alignment horizontal="right" vertical="top" wrapText="1"/>
      <protection locked="0"/>
    </xf>
    <xf numFmtId="0" fontId="22" fillId="26" borderId="58" xfId="0" applyFont="1" applyFill="1" applyBorder="1" applyAlignment="1" applyProtection="1">
      <alignment horizontal="left" vertical="top" wrapText="1"/>
      <protection locked="0"/>
    </xf>
    <xf numFmtId="0" fontId="22" fillId="26" borderId="17" xfId="0" applyFont="1" applyFill="1" applyBorder="1" applyAlignment="1" applyProtection="1">
      <alignment horizontal="right"/>
      <protection locked="0"/>
    </xf>
    <xf numFmtId="0" fontId="22" fillId="26" borderId="59" xfId="0" applyFont="1" applyFill="1" applyBorder="1" applyAlignment="1" applyProtection="1">
      <alignment horizontal="right"/>
      <protection locked="0"/>
    </xf>
    <xf numFmtId="0" fontId="8" fillId="0" borderId="0" xfId="0" applyFont="1" applyProtection="1"/>
    <xf numFmtId="0" fontId="8" fillId="0" borderId="0" xfId="0" applyFont="1" applyAlignment="1" applyProtection="1">
      <alignment horizontal="left" vertical="top" wrapText="1"/>
    </xf>
    <xf numFmtId="0" fontId="0" fillId="0" borderId="0" xfId="0" applyProtection="1"/>
    <xf numFmtId="0" fontId="8" fillId="25" borderId="29" xfId="0" applyFont="1" applyFill="1" applyBorder="1" applyProtection="1"/>
    <xf numFmtId="0" fontId="8" fillId="25" borderId="0" xfId="0" applyFont="1" applyFill="1" applyBorder="1" applyAlignment="1" applyProtection="1">
      <alignment horizontal="left" vertical="top" wrapText="1"/>
    </xf>
    <xf numFmtId="0" fontId="8" fillId="25" borderId="31" xfId="0" applyFont="1" applyFill="1" applyBorder="1" applyProtection="1"/>
    <xf numFmtId="0" fontId="8" fillId="25" borderId="32" xfId="0" applyFont="1" applyFill="1" applyBorder="1" applyProtection="1"/>
    <xf numFmtId="0" fontId="8" fillId="0" borderId="11" xfId="0" applyFont="1" applyBorder="1" applyAlignment="1" applyProtection="1">
      <alignment horizontal="left" vertical="top" wrapText="1"/>
    </xf>
    <xf numFmtId="0" fontId="8" fillId="0" borderId="11" xfId="0" applyFont="1" applyBorder="1" applyProtection="1"/>
    <xf numFmtId="0" fontId="16" fillId="0" borderId="0" xfId="0" applyFont="1" applyBorder="1" applyAlignment="1" applyProtection="1">
      <alignment horizontal="left" vertical="top"/>
    </xf>
    <xf numFmtId="0" fontId="17" fillId="0" borderId="0" xfId="0" applyFont="1" applyBorder="1" applyAlignment="1" applyProtection="1">
      <alignment horizontal="left" vertical="top" wrapText="1"/>
    </xf>
    <xf numFmtId="0" fontId="17" fillId="0" borderId="0" xfId="0" applyFont="1" applyBorder="1" applyProtection="1"/>
    <xf numFmtId="0" fontId="17" fillId="0" borderId="0" xfId="0" applyFont="1" applyProtection="1"/>
    <xf numFmtId="0" fontId="8" fillId="0" borderId="0" xfId="0" applyFont="1" applyBorder="1" applyAlignment="1" applyProtection="1">
      <alignment horizontal="left" vertical="top" wrapText="1"/>
    </xf>
    <xf numFmtId="0" fontId="8" fillId="0" borderId="0" xfId="0" applyFont="1" applyBorder="1" applyProtection="1"/>
    <xf numFmtId="0" fontId="18" fillId="0" borderId="0" xfId="0" applyFont="1" applyBorder="1" applyAlignment="1" applyProtection="1">
      <alignment horizontal="center" wrapText="1"/>
    </xf>
    <xf numFmtId="0" fontId="22" fillId="0" borderId="60" xfId="0" applyFont="1" applyBorder="1" applyProtection="1"/>
    <xf numFmtId="0" fontId="22" fillId="0" borderId="0" xfId="0" applyFont="1" applyBorder="1" applyProtection="1"/>
    <xf numFmtId="0" fontId="27" fillId="0" borderId="0" xfId="0" applyFont="1" applyProtection="1"/>
    <xf numFmtId="0" fontId="22" fillId="0" borderId="0" xfId="0" applyFont="1" applyProtection="1"/>
    <xf numFmtId="0" fontId="22" fillId="0" borderId="61" xfId="0" applyFont="1" applyBorder="1" applyProtection="1"/>
    <xf numFmtId="0" fontId="22" fillId="0" borderId="62" xfId="0" applyFont="1" applyBorder="1" applyProtection="1"/>
    <xf numFmtId="0" fontId="20" fillId="0" borderId="63" xfId="0" applyFont="1" applyBorder="1" applyAlignment="1" applyProtection="1">
      <alignment vertical="top" wrapText="1"/>
    </xf>
    <xf numFmtId="0" fontId="20" fillId="0" borderId="64" xfId="0" applyFont="1" applyBorder="1" applyAlignment="1" applyProtection="1">
      <alignment vertical="top" wrapText="1"/>
    </xf>
    <xf numFmtId="0" fontId="20" fillId="0" borderId="64" xfId="0" applyFont="1" applyFill="1" applyBorder="1" applyAlignment="1" applyProtection="1">
      <alignment vertical="top" wrapText="1"/>
    </xf>
    <xf numFmtId="165" fontId="20" fillId="0" borderId="18" xfId="28" applyNumberFormat="1" applyFont="1" applyFill="1" applyBorder="1" applyAlignment="1" applyProtection="1">
      <alignment horizontal="right" vertical="top" wrapText="1"/>
    </xf>
    <xf numFmtId="0" fontId="23" fillId="0" borderId="0" xfId="0" applyFont="1" applyProtection="1"/>
    <xf numFmtId="0" fontId="20" fillId="0" borderId="65" xfId="0" applyFont="1" applyFill="1" applyBorder="1" applyAlignment="1" applyProtection="1">
      <alignment vertical="top" wrapText="1"/>
    </xf>
    <xf numFmtId="0" fontId="20" fillId="0" borderId="19" xfId="0" applyFont="1" applyFill="1" applyBorder="1" applyAlignment="1" applyProtection="1">
      <alignment vertical="top" wrapText="1"/>
    </xf>
    <xf numFmtId="0" fontId="20" fillId="27" borderId="30" xfId="0" applyFont="1" applyFill="1" applyBorder="1" applyAlignment="1" applyProtection="1">
      <alignment horizontal="right" vertical="top" wrapText="1"/>
    </xf>
    <xf numFmtId="0" fontId="28" fillId="0" borderId="0" xfId="0" applyFont="1" applyProtection="1"/>
    <xf numFmtId="0" fontId="20" fillId="0" borderId="66" xfId="0" applyFont="1" applyFill="1" applyBorder="1" applyAlignment="1" applyProtection="1">
      <alignment vertical="top" wrapText="1"/>
    </xf>
    <xf numFmtId="3" fontId="19" fillId="0" borderId="55" xfId="0" applyNumberFormat="1" applyFont="1" applyFill="1" applyBorder="1" applyAlignment="1" applyProtection="1">
      <alignment horizontal="right" vertical="top" wrapText="1"/>
    </xf>
    <xf numFmtId="0" fontId="20" fillId="0" borderId="62" xfId="0" applyFont="1" applyFill="1" applyBorder="1" applyAlignment="1" applyProtection="1">
      <alignment vertical="top" wrapText="1"/>
    </xf>
    <xf numFmtId="0" fontId="16" fillId="0" borderId="0" xfId="0" applyFont="1" applyBorder="1" applyAlignment="1" applyProtection="1"/>
    <xf numFmtId="0" fontId="21" fillId="25" borderId="10" xfId="0" applyFont="1" applyFill="1" applyBorder="1" applyProtection="1"/>
    <xf numFmtId="0" fontId="21" fillId="25" borderId="67" xfId="0" applyFont="1" applyFill="1" applyBorder="1" applyAlignment="1" applyProtection="1">
      <alignment horizontal="center"/>
    </xf>
    <xf numFmtId="0" fontId="21" fillId="25" borderId="17" xfId="0" applyFont="1" applyFill="1" applyBorder="1" applyAlignment="1" applyProtection="1">
      <alignment horizontal="right" vertical="top" wrapText="1"/>
    </xf>
    <xf numFmtId="0" fontId="21" fillId="0" borderId="0" xfId="0" applyFont="1" applyAlignment="1" applyProtection="1">
      <alignment vertical="top" wrapText="1"/>
    </xf>
    <xf numFmtId="0" fontId="21" fillId="0" borderId="0" xfId="0" applyFont="1" applyProtection="1"/>
    <xf numFmtId="0" fontId="56" fillId="0" borderId="0" xfId="0" applyFont="1" applyAlignment="1" applyProtection="1">
      <alignment horizontal="right" vertical="top" wrapText="1"/>
    </xf>
    <xf numFmtId="0" fontId="20" fillId="0" borderId="16" xfId="0" applyFont="1" applyBorder="1" applyAlignment="1" applyProtection="1">
      <alignment horizontal="right" vertical="top" wrapText="1"/>
    </xf>
    <xf numFmtId="2" fontId="20" fillId="0" borderId="47" xfId="0" applyNumberFormat="1" applyFont="1" applyBorder="1" applyProtection="1"/>
    <xf numFmtId="0" fontId="30" fillId="0" borderId="0" xfId="0" applyFont="1" applyAlignment="1" applyProtection="1">
      <alignment horizontal="right"/>
    </xf>
    <xf numFmtId="0" fontId="29" fillId="0" borderId="0" xfId="0" applyFont="1" applyProtection="1"/>
    <xf numFmtId="0" fontId="57" fillId="0" borderId="0" xfId="0" applyFont="1" applyProtection="1"/>
    <xf numFmtId="9" fontId="22" fillId="0" borderId="0" xfId="0" applyNumberFormat="1" applyFont="1" applyProtection="1"/>
    <xf numFmtId="0" fontId="57" fillId="0" borderId="0" xfId="0" applyFont="1" applyAlignment="1" applyProtection="1">
      <alignment horizontal="left" vertical="top" wrapText="1"/>
    </xf>
    <xf numFmtId="170" fontId="27" fillId="0" borderId="0" xfId="0" applyNumberFormat="1" applyFont="1" applyProtection="1"/>
    <xf numFmtId="9" fontId="32" fillId="0" borderId="0" xfId="0" applyNumberFormat="1" applyFont="1" applyProtection="1"/>
    <xf numFmtId="0" fontId="32" fillId="0" borderId="0" xfId="0" applyFont="1" applyProtection="1"/>
    <xf numFmtId="0" fontId="8" fillId="0" borderId="0" xfId="0" applyFont="1" applyFill="1" applyBorder="1" applyAlignment="1" applyProtection="1">
      <alignment horizontal="left" vertical="top" wrapText="1"/>
    </xf>
    <xf numFmtId="165" fontId="8" fillId="0" borderId="0" xfId="0" applyNumberFormat="1" applyFont="1" applyFill="1" applyBorder="1" applyAlignment="1" applyProtection="1">
      <alignment horizontal="right" vertical="top" wrapText="1"/>
    </xf>
    <xf numFmtId="0" fontId="23" fillId="0" borderId="0" xfId="0" applyFont="1" applyAlignment="1" applyProtection="1">
      <alignment vertical="center"/>
    </xf>
    <xf numFmtId="0" fontId="18" fillId="0" borderId="0" xfId="0" applyFont="1" applyBorder="1" applyAlignment="1" applyProtection="1">
      <alignment horizontal="left" wrapText="1"/>
    </xf>
    <xf numFmtId="0" fontId="11" fillId="0" borderId="0" xfId="0" applyFont="1" applyAlignment="1" applyProtection="1">
      <alignment horizontal="center"/>
    </xf>
    <xf numFmtId="0" fontId="21" fillId="25" borderId="61" xfId="0" applyFont="1" applyFill="1" applyBorder="1" applyAlignment="1" applyProtection="1">
      <alignment horizontal="center" vertical="top" wrapText="1"/>
    </xf>
    <xf numFmtId="0" fontId="21" fillId="25" borderId="67" xfId="0" applyFont="1" applyFill="1" applyBorder="1" applyAlignment="1" applyProtection="1">
      <alignment horizontal="right" vertical="top" wrapText="1"/>
    </xf>
    <xf numFmtId="0" fontId="21" fillId="25" borderId="17" xfId="0" applyFont="1" applyFill="1" applyBorder="1" applyAlignment="1" applyProtection="1">
      <alignment horizontal="right"/>
    </xf>
    <xf numFmtId="0" fontId="19" fillId="0" borderId="12" xfId="0" applyFont="1" applyBorder="1" applyProtection="1"/>
    <xf numFmtId="0" fontId="22" fillId="0" borderId="31" xfId="0" applyFont="1" applyBorder="1" applyProtection="1"/>
    <xf numFmtId="3" fontId="22" fillId="0" borderId="36" xfId="0" applyNumberFormat="1" applyFont="1" applyFill="1" applyBorder="1" applyAlignment="1" applyProtection="1"/>
    <xf numFmtId="3" fontId="22" fillId="0" borderId="31" xfId="0" applyNumberFormat="1" applyFont="1" applyFill="1" applyBorder="1" applyAlignment="1" applyProtection="1"/>
    <xf numFmtId="0" fontId="31" fillId="0" borderId="13" xfId="0" applyFont="1" applyFill="1" applyBorder="1" applyAlignment="1" applyProtection="1">
      <alignment horizontal="right" wrapText="1"/>
    </xf>
    <xf numFmtId="0" fontId="22" fillId="0" borderId="14" xfId="0" applyFont="1" applyFill="1" applyBorder="1" applyAlignment="1" applyProtection="1">
      <alignment horizontal="right" wrapText="1"/>
    </xf>
    <xf numFmtId="3" fontId="22" fillId="0" borderId="32" xfId="0" applyNumberFormat="1" applyFont="1" applyFill="1" applyBorder="1" applyAlignment="1" applyProtection="1"/>
    <xf numFmtId="0" fontId="28" fillId="0" borderId="0" xfId="0" applyFont="1" applyAlignment="1" applyProtection="1">
      <alignment horizontal="right"/>
    </xf>
    <xf numFmtId="0" fontId="27" fillId="0" borderId="51" xfId="0" applyFont="1" applyBorder="1" applyAlignment="1" applyProtection="1">
      <alignment horizontal="right"/>
    </xf>
    <xf numFmtId="0" fontId="27" fillId="0" borderId="68" xfId="0" applyFont="1" applyBorder="1" applyAlignment="1" applyProtection="1">
      <alignment horizontal="right"/>
    </xf>
    <xf numFmtId="0" fontId="27" fillId="0" borderId="69" xfId="0" applyFont="1" applyBorder="1" applyAlignment="1" applyProtection="1">
      <alignment horizontal="right"/>
    </xf>
    <xf numFmtId="0" fontId="27" fillId="0" borderId="42" xfId="0" applyFont="1" applyBorder="1" applyAlignment="1" applyProtection="1">
      <alignment horizontal="right"/>
    </xf>
    <xf numFmtId="0" fontId="27" fillId="0" borderId="0" xfId="0" applyFont="1" applyBorder="1" applyAlignment="1" applyProtection="1">
      <alignment horizontal="right"/>
    </xf>
    <xf numFmtId="0" fontId="27" fillId="0" borderId="22" xfId="0" applyFont="1" applyBorder="1" applyAlignment="1" applyProtection="1">
      <alignment horizontal="right"/>
    </xf>
    <xf numFmtId="0" fontId="27" fillId="0" borderId="53" xfId="0" applyFont="1" applyBorder="1" applyAlignment="1" applyProtection="1">
      <alignment horizontal="right"/>
    </xf>
    <xf numFmtId="0" fontId="27" fillId="0" borderId="70" xfId="0" applyFont="1" applyBorder="1" applyAlignment="1" applyProtection="1">
      <alignment horizontal="right"/>
    </xf>
    <xf numFmtId="0" fontId="27" fillId="0" borderId="23" xfId="0" applyFont="1" applyBorder="1" applyAlignment="1" applyProtection="1">
      <alignment horizontal="right"/>
    </xf>
    <xf numFmtId="0" fontId="21" fillId="25" borderId="71" xfId="0" applyFont="1" applyFill="1" applyBorder="1" applyAlignment="1" applyProtection="1">
      <alignment horizontal="right" vertical="top" wrapText="1"/>
    </xf>
    <xf numFmtId="0" fontId="20" fillId="0" borderId="66" xfId="0" applyFont="1" applyBorder="1" applyAlignment="1" applyProtection="1">
      <alignment horizontal="center" vertical="top" wrapText="1"/>
    </xf>
    <xf numFmtId="9" fontId="20" fillId="0" borderId="16" xfId="0" applyNumberFormat="1" applyFont="1" applyBorder="1" applyAlignment="1" applyProtection="1">
      <alignment horizontal="right" vertical="top" wrapText="1"/>
    </xf>
    <xf numFmtId="0" fontId="19" fillId="0" borderId="72" xfId="0" applyFont="1" applyBorder="1" applyAlignment="1" applyProtection="1">
      <alignment horizontal="right" vertical="top" wrapText="1"/>
    </xf>
    <xf numFmtId="9" fontId="20" fillId="0" borderId="73" xfId="0" applyNumberFormat="1" applyFont="1" applyBorder="1" applyAlignment="1" applyProtection="1">
      <alignment horizontal="right" vertical="top" wrapText="1"/>
    </xf>
    <xf numFmtId="3" fontId="20" fillId="0" borderId="74" xfId="0" applyNumberFormat="1" applyFont="1" applyBorder="1" applyAlignment="1" applyProtection="1">
      <alignment horizontal="right" vertical="top" wrapText="1"/>
    </xf>
    <xf numFmtId="9" fontId="20" fillId="0" borderId="0" xfId="0" applyNumberFormat="1" applyFont="1" applyBorder="1" applyAlignment="1" applyProtection="1">
      <alignment horizontal="right" vertical="top" wrapText="1"/>
    </xf>
    <xf numFmtId="0" fontId="21" fillId="25" borderId="20" xfId="0" applyFont="1" applyFill="1" applyBorder="1" applyProtection="1"/>
    <xf numFmtId="0" fontId="21" fillId="25" borderId="39" xfId="0" applyFont="1" applyFill="1" applyBorder="1" applyAlignment="1" applyProtection="1">
      <alignment horizontal="right"/>
    </xf>
    <xf numFmtId="0" fontId="21" fillId="0" borderId="0" xfId="0" applyFont="1" applyFill="1" applyBorder="1" applyAlignment="1" applyProtection="1">
      <alignment vertical="top" wrapText="1"/>
    </xf>
    <xf numFmtId="0" fontId="58" fillId="0" borderId="0" xfId="0" applyFont="1" applyAlignment="1" applyProtection="1">
      <alignment horizontal="right" vertical="top" wrapText="1"/>
    </xf>
    <xf numFmtId="0" fontId="20" fillId="0" borderId="75" xfId="0" applyFont="1" applyBorder="1" applyAlignment="1" applyProtection="1">
      <alignment horizontal="left" vertical="top" wrapText="1"/>
    </xf>
    <xf numFmtId="0" fontId="20" fillId="0" borderId="28" xfId="0" applyFont="1" applyBorder="1" applyAlignment="1" applyProtection="1">
      <alignment horizontal="right" vertical="top" wrapText="1"/>
    </xf>
    <xf numFmtId="0" fontId="27" fillId="0" borderId="0" xfId="0" applyFont="1" applyBorder="1" applyProtection="1"/>
    <xf numFmtId="3" fontId="20" fillId="0" borderId="41" xfId="0" applyNumberFormat="1" applyFont="1" applyBorder="1" applyAlignment="1" applyProtection="1"/>
    <xf numFmtId="3" fontId="20" fillId="0" borderId="29" xfId="0" applyNumberFormat="1" applyFont="1" applyBorder="1" applyAlignment="1" applyProtection="1"/>
    <xf numFmtId="3" fontId="20" fillId="0" borderId="0" xfId="0" applyNumberFormat="1" applyFont="1" applyBorder="1" applyAlignment="1" applyProtection="1"/>
    <xf numFmtId="3" fontId="20" fillId="0" borderId="42" xfId="0" applyNumberFormat="1" applyFont="1" applyBorder="1" applyAlignment="1" applyProtection="1"/>
    <xf numFmtId="3" fontId="20" fillId="0" borderId="31" xfId="0" applyNumberFormat="1" applyFont="1" applyBorder="1" applyAlignment="1" applyProtection="1"/>
    <xf numFmtId="0" fontId="20" fillId="0" borderId="37" xfId="0" applyFont="1" applyBorder="1" applyAlignment="1" applyProtection="1">
      <alignment horizontal="left" vertical="top" wrapText="1"/>
    </xf>
    <xf numFmtId="0" fontId="20" fillId="0" borderId="25" xfId="0" applyFont="1" applyBorder="1" applyAlignment="1" applyProtection="1">
      <alignment horizontal="right" vertical="top" wrapText="1"/>
    </xf>
    <xf numFmtId="0" fontId="27" fillId="0" borderId="14" xfId="0" applyFont="1" applyBorder="1" applyProtection="1"/>
    <xf numFmtId="3" fontId="20" fillId="0" borderId="43" xfId="0" applyNumberFormat="1" applyFont="1" applyBorder="1" applyAlignment="1" applyProtection="1"/>
    <xf numFmtId="3" fontId="20" fillId="0" borderId="32" xfId="0" applyNumberFormat="1" applyFont="1" applyBorder="1" applyAlignment="1" applyProtection="1"/>
    <xf numFmtId="171" fontId="28" fillId="0" borderId="0" xfId="0" applyNumberFormat="1" applyFont="1" applyProtection="1"/>
    <xf numFmtId="0" fontId="16" fillId="0" borderId="0" xfId="0" applyFont="1" applyProtection="1"/>
    <xf numFmtId="0" fontId="21" fillId="25" borderId="60" xfId="0" applyFont="1" applyFill="1" applyBorder="1" applyAlignment="1" applyProtection="1">
      <alignment horizontal="center"/>
    </xf>
    <xf numFmtId="0" fontId="20" fillId="0" borderId="0" xfId="0" applyFont="1" applyProtection="1"/>
    <xf numFmtId="0" fontId="34" fillId="0" borderId="0" xfId="0" applyFont="1" applyAlignment="1" applyProtection="1">
      <alignment horizontal="center"/>
    </xf>
    <xf numFmtId="0" fontId="20" fillId="0" borderId="0" xfId="0" applyFont="1" applyAlignment="1" applyProtection="1">
      <alignment vertical="top" wrapText="1"/>
    </xf>
    <xf numFmtId="0" fontId="21" fillId="25" borderId="44" xfId="0" applyFont="1" applyFill="1" applyBorder="1" applyAlignment="1" applyProtection="1">
      <alignment horizontal="left"/>
    </xf>
    <xf numFmtId="0" fontId="21" fillId="25" borderId="39" xfId="0" applyFont="1" applyFill="1" applyBorder="1" applyAlignment="1" applyProtection="1">
      <alignment horizontal="center"/>
    </xf>
    <xf numFmtId="0" fontId="21" fillId="25" borderId="15" xfId="0" applyFont="1" applyFill="1" applyBorder="1" applyAlignment="1" applyProtection="1">
      <alignment horizontal="center"/>
    </xf>
    <xf numFmtId="0" fontId="21" fillId="25" borderId="15" xfId="0" applyFont="1" applyFill="1" applyBorder="1" applyAlignment="1" applyProtection="1">
      <alignment horizontal="center" wrapText="1"/>
    </xf>
    <xf numFmtId="0" fontId="21" fillId="25" borderId="54" xfId="0" applyFont="1" applyFill="1" applyBorder="1" applyAlignment="1" applyProtection="1">
      <alignment horizontal="center" wrapText="1"/>
    </xf>
    <xf numFmtId="0" fontId="58" fillId="0" borderId="0" xfId="0" applyFont="1" applyProtection="1"/>
    <xf numFmtId="0" fontId="20" fillId="0" borderId="16" xfId="0" applyFont="1" applyBorder="1" applyAlignment="1" applyProtection="1">
      <alignment horizontal="left" vertical="top"/>
    </xf>
    <xf numFmtId="164" fontId="20" fillId="0" borderId="16" xfId="28" applyFont="1" applyFill="1" applyBorder="1" applyProtection="1"/>
    <xf numFmtId="165" fontId="20" fillId="0" borderId="16" xfId="28" applyNumberFormat="1" applyFont="1" applyBorder="1" applyProtection="1"/>
    <xf numFmtId="166" fontId="20" fillId="0" borderId="16" xfId="28" applyNumberFormat="1" applyFont="1" applyBorder="1" applyProtection="1"/>
    <xf numFmtId="164" fontId="20" fillId="0" borderId="16" xfId="28" applyFont="1" applyBorder="1" applyProtection="1"/>
    <xf numFmtId="166" fontId="20" fillId="27" borderId="16" xfId="28" applyNumberFormat="1" applyFont="1" applyFill="1" applyBorder="1" applyProtection="1"/>
    <xf numFmtId="164" fontId="20" fillId="27" borderId="16" xfId="28" applyFont="1" applyFill="1" applyBorder="1" applyProtection="1"/>
    <xf numFmtId="0" fontId="22" fillId="0" borderId="16" xfId="0" applyFont="1" applyBorder="1" applyProtection="1"/>
    <xf numFmtId="0" fontId="20" fillId="0" borderId="16" xfId="0" applyFont="1" applyBorder="1" applyAlignment="1" applyProtection="1">
      <alignment horizontal="right"/>
    </xf>
    <xf numFmtId="0" fontId="20" fillId="0" borderId="16" xfId="0" applyFont="1" applyBorder="1" applyProtection="1"/>
    <xf numFmtId="166" fontId="20" fillId="0" borderId="16" xfId="28" applyNumberFormat="1" applyFont="1" applyFill="1" applyBorder="1" applyProtection="1"/>
    <xf numFmtId="0" fontId="58" fillId="0" borderId="0" xfId="0" applyFont="1" applyFill="1" applyBorder="1" applyProtection="1"/>
    <xf numFmtId="0" fontId="26" fillId="0" borderId="0" xfId="0" applyFont="1" applyProtection="1"/>
    <xf numFmtId="0" fontId="55" fillId="0" borderId="0" xfId="0" applyFont="1" applyProtection="1"/>
    <xf numFmtId="0" fontId="20" fillId="26" borderId="16" xfId="0" applyFont="1" applyFill="1" applyBorder="1" applyAlignment="1" applyProtection="1">
      <alignment horizontal="left" vertical="top" wrapText="1"/>
      <protection locked="0"/>
    </xf>
    <xf numFmtId="0" fontId="22" fillId="26" borderId="16" xfId="0" applyFont="1" applyFill="1" applyBorder="1" applyProtection="1">
      <protection locked="0"/>
    </xf>
    <xf numFmtId="3" fontId="20" fillId="26" borderId="18" xfId="0" applyNumberFormat="1" applyFont="1" applyFill="1" applyBorder="1" applyAlignment="1" applyProtection="1">
      <alignment horizontal="right" vertical="top" wrapText="1"/>
      <protection locked="0"/>
    </xf>
    <xf numFmtId="0" fontId="22" fillId="26" borderId="76" xfId="0" applyFont="1" applyFill="1" applyBorder="1" applyAlignment="1" applyProtection="1">
      <alignment horizontal="center"/>
      <protection locked="0"/>
    </xf>
    <xf numFmtId="165" fontId="19" fillId="0" borderId="77" xfId="0" applyNumberFormat="1" applyFont="1" applyBorder="1"/>
    <xf numFmtId="165" fontId="19" fillId="0" borderId="58" xfId="0" applyNumberFormat="1" applyFont="1" applyBorder="1"/>
    <xf numFmtId="37" fontId="19" fillId="0" borderId="77" xfId="0" applyNumberFormat="1" applyFont="1" applyBorder="1"/>
    <xf numFmtId="37" fontId="19" fillId="0" borderId="78" xfId="0" applyNumberFormat="1" applyFont="1" applyBorder="1"/>
    <xf numFmtId="169" fontId="19" fillId="0" borderId="79" xfId="0" applyNumberFormat="1" applyFont="1" applyBorder="1"/>
    <xf numFmtId="169" fontId="19" fillId="0" borderId="77" xfId="0" applyNumberFormat="1" applyFont="1" applyBorder="1"/>
    <xf numFmtId="169" fontId="19" fillId="0" borderId="58" xfId="0" applyNumberFormat="1" applyFont="1" applyBorder="1"/>
    <xf numFmtId="44" fontId="19" fillId="0" borderId="79" xfId="0" applyNumberFormat="1" applyFont="1" applyBorder="1"/>
    <xf numFmtId="44" fontId="19" fillId="0" borderId="77" xfId="0" applyNumberFormat="1" applyFont="1" applyBorder="1"/>
    <xf numFmtId="0" fontId="22" fillId="0" borderId="47" xfId="0" applyFont="1" applyFill="1" applyBorder="1" applyAlignment="1">
      <alignment horizontal="left" vertical="top" wrapText="1"/>
    </xf>
    <xf numFmtId="0" fontId="19" fillId="0" borderId="48" xfId="0" applyFont="1" applyFill="1" applyBorder="1" applyAlignment="1">
      <alignment horizontal="left" vertical="top" wrapText="1"/>
    </xf>
    <xf numFmtId="0" fontId="67" fillId="0" borderId="0" xfId="0" applyFont="1"/>
    <xf numFmtId="0" fontId="20" fillId="26" borderId="16" xfId="0" applyFont="1" applyFill="1" applyBorder="1" applyAlignment="1" applyProtection="1">
      <alignment horizontal="left" vertical="top"/>
      <protection locked="0"/>
    </xf>
    <xf numFmtId="0" fontId="20" fillId="26" borderId="16" xfId="0" applyFont="1" applyFill="1" applyBorder="1" applyAlignment="1" applyProtection="1">
      <alignment horizontal="right" vertical="top" wrapText="1"/>
      <protection locked="0"/>
    </xf>
    <xf numFmtId="164" fontId="20" fillId="26" borderId="16" xfId="28" applyFont="1" applyFill="1" applyBorder="1" applyProtection="1">
      <protection locked="0"/>
    </xf>
    <xf numFmtId="165" fontId="20" fillId="26" borderId="16" xfId="28" applyNumberFormat="1" applyFont="1" applyFill="1" applyBorder="1" applyProtection="1">
      <protection locked="0"/>
    </xf>
    <xf numFmtId="166" fontId="20" fillId="26" borderId="16" xfId="28" applyNumberFormat="1" applyFont="1" applyFill="1" applyBorder="1" applyProtection="1">
      <protection locked="0"/>
    </xf>
    <xf numFmtId="0" fontId="6" fillId="24" borderId="0" xfId="0" applyFont="1" applyFill="1" applyProtection="1"/>
    <xf numFmtId="0" fontId="68" fillId="0" borderId="0" xfId="0" applyFont="1" applyAlignment="1">
      <alignment horizontal="center" vertical="top"/>
    </xf>
    <xf numFmtId="0" fontId="8" fillId="0" borderId="0" xfId="0" applyFont="1" applyAlignment="1">
      <alignment vertical="top" wrapText="1"/>
    </xf>
    <xf numFmtId="0" fontId="25" fillId="0" borderId="0" xfId="35" applyAlignment="1" applyProtection="1">
      <alignment vertical="top" wrapText="1"/>
    </xf>
    <xf numFmtId="0" fontId="68" fillId="0" borderId="0" xfId="0" applyFont="1" applyAlignment="1">
      <alignment vertical="top" wrapText="1"/>
    </xf>
    <xf numFmtId="0" fontId="25" fillId="0" borderId="0" xfId="35" applyFont="1" applyAlignment="1" applyProtection="1"/>
    <xf numFmtId="0" fontId="19" fillId="0" borderId="0" xfId="0" applyFont="1" applyBorder="1" applyAlignment="1" applyProtection="1">
      <alignment horizontal="right" vertical="top" wrapText="1"/>
    </xf>
    <xf numFmtId="165" fontId="19" fillId="0" borderId="0" xfId="0" applyNumberFormat="1" applyFont="1" applyBorder="1" applyAlignment="1" applyProtection="1">
      <alignment horizontal="center" vertical="top" wrapText="1"/>
    </xf>
    <xf numFmtId="3" fontId="19" fillId="0" borderId="0" xfId="0" applyNumberFormat="1" applyFont="1" applyBorder="1" applyAlignment="1" applyProtection="1">
      <alignment horizontal="right" vertical="top" wrapText="1"/>
    </xf>
    <xf numFmtId="168" fontId="19" fillId="0" borderId="0" xfId="0" applyNumberFormat="1" applyFont="1" applyBorder="1" applyAlignment="1" applyProtection="1">
      <alignment horizontal="center"/>
    </xf>
    <xf numFmtId="0" fontId="0" fillId="0" borderId="0" xfId="0" applyFill="1" applyProtection="1"/>
    <xf numFmtId="0" fontId="22" fillId="0" borderId="0" xfId="0" applyFont="1" applyFill="1" applyBorder="1" applyAlignment="1" applyProtection="1">
      <alignment horizontal="left"/>
      <protection locked="0"/>
    </xf>
    <xf numFmtId="0" fontId="0" fillId="0" borderId="0" xfId="0" applyFill="1" applyBorder="1" applyProtection="1"/>
    <xf numFmtId="3" fontId="22" fillId="0" borderId="0" xfId="0" applyNumberFormat="1" applyFont="1" applyFill="1" applyBorder="1" applyProtection="1"/>
    <xf numFmtId="0" fontId="22" fillId="0" borderId="0" xfId="0" applyFont="1" applyFill="1" applyBorder="1" applyProtection="1"/>
    <xf numFmtId="0" fontId="19" fillId="0" borderId="0" xfId="0" applyFont="1" applyFill="1" applyBorder="1" applyAlignment="1" applyProtection="1">
      <alignment horizontal="right"/>
    </xf>
    <xf numFmtId="0" fontId="8" fillId="0" borderId="0" xfId="0" applyFont="1" applyFill="1" applyAlignment="1" applyProtection="1">
      <alignment horizontal="left" vertical="top" wrapText="1"/>
    </xf>
    <xf numFmtId="0" fontId="16" fillId="0" borderId="0" xfId="0" applyFont="1" applyFill="1" applyBorder="1" applyAlignment="1" applyProtection="1">
      <alignment horizontal="left" vertical="top"/>
    </xf>
    <xf numFmtId="0" fontId="73" fillId="0" borderId="0" xfId="0" applyFont="1" applyProtection="1"/>
    <xf numFmtId="0" fontId="11" fillId="0" borderId="0" xfId="0" applyFont="1" applyAlignment="1">
      <alignment horizontal="center" vertical="center" wrapText="1"/>
    </xf>
    <xf numFmtId="0" fontId="11" fillId="0" borderId="0" xfId="0" applyFont="1" applyAlignment="1">
      <alignment horizontal="center"/>
    </xf>
    <xf numFmtId="0" fontId="75" fillId="0" borderId="0" xfId="0" applyFont="1" applyProtection="1"/>
    <xf numFmtId="165" fontId="20" fillId="0" borderId="28" xfId="28" applyNumberFormat="1" applyFont="1" applyBorder="1" applyProtection="1"/>
    <xf numFmtId="166" fontId="20" fillId="0" borderId="28" xfId="28" applyNumberFormat="1" applyFont="1" applyBorder="1" applyProtection="1"/>
    <xf numFmtId="164" fontId="20" fillId="0" borderId="28" xfId="28" applyFont="1" applyBorder="1" applyProtection="1"/>
    <xf numFmtId="167" fontId="20" fillId="26" borderId="28" xfId="0" applyNumberFormat="1" applyFont="1" applyFill="1" applyBorder="1" applyProtection="1">
      <protection locked="0"/>
    </xf>
    <xf numFmtId="171" fontId="11" fillId="0" borderId="0" xfId="0" applyNumberFormat="1" applyFont="1" applyAlignment="1">
      <alignment horizontal="center" vertical="center" wrapText="1"/>
    </xf>
    <xf numFmtId="171" fontId="8" fillId="0" borderId="0" xfId="0" applyNumberFormat="1" applyFont="1"/>
    <xf numFmtId="0" fontId="11" fillId="0" borderId="0" xfId="0" applyFont="1" applyFill="1" applyAlignment="1">
      <alignment horizontal="center" vertical="center" wrapText="1"/>
    </xf>
    <xf numFmtId="0" fontId="11" fillId="0" borderId="0" xfId="0" applyFont="1" applyFill="1" applyAlignment="1">
      <alignment horizontal="center"/>
    </xf>
    <xf numFmtId="0" fontId="3" fillId="0" borderId="0" xfId="0" applyFont="1" applyAlignment="1" applyProtection="1">
      <alignment vertical="top" wrapText="1"/>
    </xf>
    <xf numFmtId="0" fontId="3" fillId="0" borderId="0" xfId="0" applyFont="1" applyProtection="1"/>
    <xf numFmtId="0" fontId="11" fillId="0" borderId="0" xfId="0" applyFont="1" applyAlignment="1">
      <alignment horizontal="center" vertical="top"/>
    </xf>
    <xf numFmtId="0" fontId="11" fillId="0" borderId="0" xfId="0" applyFont="1" applyAlignment="1">
      <alignment horizontal="center" vertical="top" wrapText="1"/>
    </xf>
    <xf numFmtId="0" fontId="11" fillId="0" borderId="0" xfId="0" applyFont="1" applyAlignment="1">
      <alignment horizontal="left" vertical="top"/>
    </xf>
    <xf numFmtId="0" fontId="71" fillId="24" borderId="0" xfId="0" applyFont="1" applyFill="1" applyAlignment="1" applyProtection="1">
      <alignment horizontal="left"/>
    </xf>
    <xf numFmtId="0" fontId="20" fillId="0" borderId="66" xfId="0" applyFont="1" applyBorder="1" applyAlignment="1" applyProtection="1">
      <alignment horizontal="center"/>
    </xf>
    <xf numFmtId="0" fontId="20" fillId="0" borderId="66" xfId="0" applyFont="1" applyFill="1" applyBorder="1" applyAlignment="1" applyProtection="1">
      <alignment horizontal="center" vertical="top" wrapText="1"/>
    </xf>
    <xf numFmtId="0" fontId="0" fillId="0" borderId="0" xfId="0"/>
    <xf numFmtId="167" fontId="20" fillId="26" borderId="16" xfId="0" applyNumberFormat="1" applyFont="1" applyFill="1" applyBorder="1" applyProtection="1">
      <protection locked="0"/>
    </xf>
    <xf numFmtId="0" fontId="8" fillId="0" borderId="0" xfId="0" applyFont="1" applyFill="1"/>
    <xf numFmtId="0" fontId="0" fillId="0" borderId="0" xfId="0" applyFill="1"/>
    <xf numFmtId="0" fontId="11" fillId="0" borderId="0" xfId="0" applyFont="1" applyAlignment="1">
      <alignment horizontal="center"/>
    </xf>
    <xf numFmtId="0" fontId="74" fillId="0" borderId="0" xfId="0" applyFont="1"/>
    <xf numFmtId="167" fontId="20" fillId="26" borderId="28" xfId="0" applyNumberFormat="1" applyFont="1" applyFill="1" applyBorder="1" applyProtection="1">
      <protection locked="0"/>
    </xf>
    <xf numFmtId="0" fontId="11" fillId="0" borderId="0" xfId="0" applyFont="1" applyFill="1" applyAlignment="1">
      <alignment horizontal="center"/>
    </xf>
    <xf numFmtId="4" fontId="8" fillId="0" borderId="0" xfId="0" applyNumberFormat="1" applyFont="1" applyFill="1"/>
    <xf numFmtId="4" fontId="8" fillId="0" borderId="0" xfId="0" applyNumberFormat="1" applyFont="1"/>
    <xf numFmtId="0" fontId="68" fillId="0" borderId="0" xfId="0" applyFont="1" applyAlignment="1">
      <alignment horizontal="left" vertical="top" wrapText="1"/>
    </xf>
    <xf numFmtId="0" fontId="4" fillId="24" borderId="0" xfId="0" applyFont="1" applyFill="1" applyAlignment="1" applyProtection="1">
      <alignment horizontal="left" wrapText="1"/>
    </xf>
    <xf numFmtId="0" fontId="71" fillId="24" borderId="0" xfId="0" applyFont="1" applyFill="1" applyAlignment="1" applyProtection="1">
      <alignment horizontal="center" wrapText="1"/>
    </xf>
    <xf numFmtId="0" fontId="21" fillId="25" borderId="39" xfId="0" applyFont="1" applyFill="1" applyBorder="1" applyAlignment="1" applyProtection="1">
      <alignment horizontal="left" vertical="top" wrapText="1"/>
    </xf>
    <xf numFmtId="0" fontId="21" fillId="25" borderId="45" xfId="0" applyFont="1" applyFill="1" applyBorder="1" applyAlignment="1" applyProtection="1">
      <alignment horizontal="left" vertical="top" wrapText="1"/>
    </xf>
    <xf numFmtId="0" fontId="21" fillId="25" borderId="40" xfId="0" applyFont="1" applyFill="1" applyBorder="1" applyAlignment="1" applyProtection="1">
      <alignment horizontal="center" vertical="top" wrapText="1"/>
    </xf>
    <xf numFmtId="0" fontId="21" fillId="25" borderId="57" xfId="0" applyFont="1" applyFill="1" applyBorder="1" applyAlignment="1" applyProtection="1">
      <alignment horizontal="center" vertical="top" wrapText="1"/>
    </xf>
    <xf numFmtId="0" fontId="12" fillId="26" borderId="48" xfId="0" applyFont="1" applyFill="1" applyBorder="1" applyAlignment="1" applyProtection="1">
      <alignment horizontal="center" wrapText="1"/>
    </xf>
    <xf numFmtId="0" fontId="12" fillId="26" borderId="52" xfId="0" applyFont="1" applyFill="1" applyBorder="1" applyAlignment="1" applyProtection="1">
      <alignment horizontal="center" wrapText="1"/>
    </xf>
    <xf numFmtId="0" fontId="12" fillId="26" borderId="47" xfId="0" applyFont="1" applyFill="1" applyBorder="1" applyAlignment="1" applyProtection="1">
      <alignment horizontal="center" wrapText="1"/>
    </xf>
    <xf numFmtId="0" fontId="21" fillId="25" borderId="67" xfId="0" applyFont="1" applyFill="1" applyBorder="1" applyAlignment="1" applyProtection="1">
      <alignment horizontal="left" vertical="top" wrapText="1"/>
    </xf>
    <xf numFmtId="165" fontId="20" fillId="0" borderId="48" xfId="0" applyNumberFormat="1" applyFont="1" applyBorder="1" applyAlignment="1" applyProtection="1">
      <alignment horizontal="center" vertical="top" wrapText="1"/>
    </xf>
    <xf numFmtId="165" fontId="20" fillId="0" borderId="47" xfId="0" applyNumberFormat="1" applyFont="1" applyBorder="1" applyAlignment="1" applyProtection="1">
      <alignment horizontal="center" vertical="top" wrapText="1"/>
    </xf>
    <xf numFmtId="3" fontId="20" fillId="0" borderId="48" xfId="0" applyNumberFormat="1" applyFont="1" applyBorder="1" applyAlignment="1" applyProtection="1">
      <alignment horizontal="right" vertical="top" wrapText="1"/>
    </xf>
    <xf numFmtId="3" fontId="20" fillId="0" borderId="47" xfId="0" applyNumberFormat="1" applyFont="1" applyBorder="1" applyAlignment="1" applyProtection="1">
      <alignment horizontal="right" vertical="top" wrapText="1"/>
    </xf>
    <xf numFmtId="0" fontId="21" fillId="25" borderId="81" xfId="0" applyFont="1" applyFill="1" applyBorder="1" applyAlignment="1" applyProtection="1">
      <alignment horizontal="right" vertical="top" wrapText="1"/>
    </xf>
    <xf numFmtId="0" fontId="21" fillId="25" borderId="71" xfId="0" applyFont="1" applyFill="1" applyBorder="1" applyAlignment="1" applyProtection="1">
      <alignment horizontal="right" vertical="top" wrapText="1"/>
    </xf>
    <xf numFmtId="165" fontId="19" fillId="26" borderId="81" xfId="0" applyNumberFormat="1" applyFont="1" applyFill="1" applyBorder="1" applyAlignment="1" applyProtection="1">
      <alignment horizontal="center" vertical="top" wrapText="1"/>
      <protection locked="0"/>
    </xf>
    <xf numFmtId="165" fontId="19" fillId="26" borderId="82" xfId="0" applyNumberFormat="1" applyFont="1" applyFill="1" applyBorder="1" applyAlignment="1" applyProtection="1">
      <alignment horizontal="center" vertical="top" wrapText="1"/>
      <protection locked="0"/>
    </xf>
    <xf numFmtId="165" fontId="19" fillId="26" borderId="80" xfId="0" applyNumberFormat="1" applyFont="1" applyFill="1" applyBorder="1" applyAlignment="1" applyProtection="1">
      <alignment horizontal="center" vertical="top" wrapText="1"/>
      <protection locked="0"/>
    </xf>
    <xf numFmtId="173" fontId="20" fillId="26" borderId="43" xfId="0" applyNumberFormat="1" applyFont="1" applyFill="1" applyBorder="1" applyAlignment="1" applyProtection="1">
      <alignment horizontal="center" vertical="top" wrapText="1"/>
      <protection locked="0"/>
    </xf>
    <xf numFmtId="173" fontId="20" fillId="26" borderId="14" xfId="0" applyNumberFormat="1" applyFont="1" applyFill="1" applyBorder="1" applyAlignment="1" applyProtection="1">
      <alignment horizontal="center" vertical="top" wrapText="1"/>
      <protection locked="0"/>
    </xf>
    <xf numFmtId="173" fontId="20" fillId="26" borderId="32" xfId="0" applyNumberFormat="1"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xf>
    <xf numFmtId="0" fontId="21" fillId="25" borderId="63" xfId="0" applyFont="1" applyFill="1" applyBorder="1" applyAlignment="1" applyProtection="1">
      <alignment horizontal="center" vertical="top" wrapText="1"/>
    </xf>
    <xf numFmtId="0" fontId="21" fillId="25" borderId="80" xfId="0" applyFont="1" applyFill="1" applyBorder="1" applyAlignment="1" applyProtection="1">
      <alignment horizontal="center" vertical="top" wrapText="1"/>
    </xf>
    <xf numFmtId="0" fontId="21" fillId="0" borderId="0" xfId="0" applyFont="1" applyFill="1" applyBorder="1" applyAlignment="1" applyProtection="1">
      <alignment horizontal="center" vertical="top" wrapText="1"/>
    </xf>
    <xf numFmtId="0" fontId="19" fillId="28" borderId="51" xfId="0" applyFont="1" applyFill="1" applyBorder="1" applyAlignment="1" applyProtection="1">
      <alignment horizontal="left" vertical="top" wrapText="1"/>
    </xf>
    <xf numFmtId="0" fontId="19" fillId="28" borderId="68" xfId="0" applyFont="1" applyFill="1" applyBorder="1" applyAlignment="1" applyProtection="1">
      <alignment horizontal="left" vertical="top" wrapText="1"/>
    </xf>
    <xf numFmtId="0" fontId="19" fillId="28" borderId="69" xfId="0" applyFont="1" applyFill="1" applyBorder="1" applyAlignment="1" applyProtection="1">
      <alignment horizontal="left" vertical="top" wrapText="1"/>
    </xf>
    <xf numFmtId="0" fontId="21" fillId="25" borderId="41" xfId="0" applyFont="1" applyFill="1" applyBorder="1" applyAlignment="1" applyProtection="1">
      <alignment horizontal="center" vertical="top" wrapText="1"/>
    </xf>
    <xf numFmtId="0" fontId="21" fillId="25" borderId="29" xfId="0" applyFont="1" applyFill="1" applyBorder="1" applyAlignment="1" applyProtection="1">
      <alignment horizontal="center" vertical="top" wrapText="1"/>
    </xf>
    <xf numFmtId="0" fontId="21" fillId="25" borderId="42" xfId="0" applyFont="1" applyFill="1" applyBorder="1" applyAlignment="1" applyProtection="1">
      <alignment horizontal="center" vertical="top" wrapText="1"/>
    </xf>
    <xf numFmtId="0" fontId="21" fillId="25" borderId="31" xfId="0" applyFont="1" applyFill="1" applyBorder="1" applyAlignment="1" applyProtection="1">
      <alignment horizontal="center" vertical="top" wrapText="1"/>
    </xf>
    <xf numFmtId="165" fontId="19" fillId="0" borderId="73" xfId="0" applyNumberFormat="1" applyFont="1" applyBorder="1" applyAlignment="1" applyProtection="1">
      <alignment horizontal="center" vertical="top" wrapText="1"/>
    </xf>
    <xf numFmtId="3" fontId="19" fillId="0" borderId="73" xfId="0" applyNumberFormat="1" applyFont="1" applyBorder="1" applyAlignment="1" applyProtection="1">
      <alignment horizontal="right" vertical="top" wrapText="1"/>
    </xf>
    <xf numFmtId="168" fontId="19" fillId="0" borderId="14" xfId="0" applyNumberFormat="1" applyFont="1" applyBorder="1" applyAlignment="1" applyProtection="1">
      <alignment horizontal="center"/>
    </xf>
    <xf numFmtId="168" fontId="19" fillId="0" borderId="32" xfId="0" applyNumberFormat="1" applyFont="1" applyBorder="1" applyAlignment="1" applyProtection="1">
      <alignment horizontal="center"/>
    </xf>
    <xf numFmtId="0" fontId="20" fillId="26" borderId="48" xfId="0" applyFont="1" applyFill="1" applyBorder="1" applyAlignment="1" applyProtection="1">
      <alignment horizontal="left"/>
      <protection locked="0"/>
    </xf>
    <xf numFmtId="0" fontId="22" fillId="26" borderId="52" xfId="0" applyFont="1" applyFill="1" applyBorder="1" applyAlignment="1" applyProtection="1">
      <alignment horizontal="left"/>
      <protection locked="0"/>
    </xf>
    <xf numFmtId="0" fontId="22" fillId="26" borderId="47" xfId="0" applyFont="1" applyFill="1" applyBorder="1" applyAlignment="1" applyProtection="1">
      <alignment horizontal="left"/>
      <protection locked="0"/>
    </xf>
    <xf numFmtId="44" fontId="22" fillId="0" borderId="39" xfId="0" applyNumberFormat="1" applyFont="1" applyBorder="1" applyAlignment="1">
      <alignment horizontal="center"/>
    </xf>
    <xf numFmtId="0" fontId="22" fillId="0" borderId="45" xfId="0" applyFont="1" applyBorder="1" applyAlignment="1">
      <alignment horizontal="center"/>
    </xf>
    <xf numFmtId="0" fontId="22" fillId="0" borderId="39" xfId="0" applyFont="1" applyBorder="1" applyAlignment="1">
      <alignment horizontal="center"/>
    </xf>
    <xf numFmtId="169" fontId="22" fillId="0" borderId="39" xfId="0" applyNumberFormat="1" applyFont="1" applyBorder="1" applyAlignment="1">
      <alignment horizontal="center"/>
    </xf>
    <xf numFmtId="43" fontId="22" fillId="0" borderId="39" xfId="0" applyNumberFormat="1" applyFont="1" applyBorder="1" applyAlignment="1">
      <alignment horizontal="center"/>
    </xf>
    <xf numFmtId="169" fontId="20" fillId="0" borderId="21" xfId="0" applyNumberFormat="1" applyFont="1" applyBorder="1" applyAlignment="1">
      <alignment horizontal="center"/>
    </xf>
    <xf numFmtId="43" fontId="20" fillId="0" borderId="21" xfId="0" applyNumberFormat="1" applyFont="1" applyBorder="1" applyAlignment="1">
      <alignment horizontal="center"/>
    </xf>
    <xf numFmtId="169" fontId="20" fillId="0" borderId="25" xfId="0" applyNumberFormat="1" applyFont="1" applyBorder="1" applyAlignment="1">
      <alignment horizontal="center"/>
    </xf>
    <xf numFmtId="43" fontId="20" fillId="0" borderId="25" xfId="0" applyNumberFormat="1" applyFont="1" applyBorder="1" applyAlignment="1">
      <alignment horizontal="center"/>
    </xf>
    <xf numFmtId="0" fontId="21" fillId="25" borderId="15" xfId="0" applyFont="1" applyFill="1" applyBorder="1" applyAlignment="1">
      <alignment horizontal="center" vertical="top" wrapText="1"/>
    </xf>
    <xf numFmtId="169" fontId="20" fillId="0" borderId="27" xfId="0" applyNumberFormat="1" applyFont="1" applyBorder="1" applyAlignment="1">
      <alignment horizontal="center"/>
    </xf>
    <xf numFmtId="43" fontId="20" fillId="0" borderId="27" xfId="0" applyNumberFormat="1" applyFont="1" applyBorder="1" applyAlignment="1">
      <alignment horizontal="center"/>
    </xf>
    <xf numFmtId="44" fontId="20" fillId="0" borderId="42" xfId="0" applyNumberFormat="1" applyFont="1" applyBorder="1" applyAlignment="1">
      <alignment horizontal="center"/>
    </xf>
    <xf numFmtId="44" fontId="20" fillId="0" borderId="31" xfId="0" applyNumberFormat="1" applyFont="1" applyBorder="1" applyAlignment="1">
      <alignment horizontal="center"/>
    </xf>
    <xf numFmtId="44" fontId="20" fillId="0" borderId="43" xfId="0" applyNumberFormat="1" applyFont="1" applyBorder="1" applyAlignment="1">
      <alignment horizontal="center"/>
    </xf>
    <xf numFmtId="44" fontId="20" fillId="0" borderId="32" xfId="0" applyNumberFormat="1" applyFont="1" applyBorder="1" applyAlignment="1">
      <alignment horizontal="center"/>
    </xf>
    <xf numFmtId="44" fontId="20" fillId="0" borderId="22" xfId="0" applyNumberFormat="1" applyFont="1" applyBorder="1" applyAlignment="1">
      <alignment horizontal="center"/>
    </xf>
    <xf numFmtId="44" fontId="20" fillId="0" borderId="24" xfId="0" applyNumberFormat="1" applyFont="1" applyBorder="1" applyAlignment="1">
      <alignment horizontal="center"/>
    </xf>
    <xf numFmtId="0" fontId="21" fillId="25" borderId="54" xfId="0" applyFont="1" applyFill="1" applyBorder="1" applyAlignment="1">
      <alignment horizontal="center" vertical="top" wrapText="1"/>
    </xf>
    <xf numFmtId="44" fontId="20" fillId="0" borderId="41" xfId="0" applyNumberFormat="1" applyFont="1" applyBorder="1" applyAlignment="1">
      <alignment horizontal="center"/>
    </xf>
    <xf numFmtId="44" fontId="20" fillId="0" borderId="29" xfId="0" applyNumberFormat="1" applyFont="1" applyBorder="1" applyAlignment="1">
      <alignment horizontal="center"/>
    </xf>
    <xf numFmtId="44" fontId="20" fillId="0" borderId="26" xfId="0" applyNumberFormat="1" applyFont="1" applyBorder="1" applyAlignment="1">
      <alignment horizontal="center"/>
    </xf>
    <xf numFmtId="0" fontId="21" fillId="25" borderId="20" xfId="0" applyFont="1" applyFill="1" applyBorder="1" applyAlignment="1">
      <alignment horizontal="left" vertical="center" wrapText="1"/>
    </xf>
    <xf numFmtId="0" fontId="21" fillId="25" borderId="57" xfId="0" applyFont="1" applyFill="1" applyBorder="1" applyAlignment="1">
      <alignment horizontal="left" vertical="center" wrapText="1"/>
    </xf>
    <xf numFmtId="0" fontId="19" fillId="0" borderId="0" xfId="0" applyFont="1" applyFill="1" applyBorder="1" applyAlignment="1">
      <alignment horizontal="right" vertical="top" wrapText="1"/>
    </xf>
    <xf numFmtId="0" fontId="21" fillId="25" borderId="15" xfId="0" applyFont="1" applyFill="1" applyBorder="1" applyAlignment="1">
      <alignment horizontal="left" vertical="top" wrapText="1"/>
    </xf>
    <xf numFmtId="0" fontId="21" fillId="25" borderId="54" xfId="0" applyFont="1" applyFill="1" applyBorder="1" applyAlignment="1">
      <alignment horizontal="left" vertical="top" wrapText="1"/>
    </xf>
    <xf numFmtId="0" fontId="21" fillId="25" borderId="40" xfId="0" applyFont="1" applyFill="1" applyBorder="1" applyAlignment="1">
      <alignment horizontal="center" vertical="top" wrapText="1"/>
    </xf>
    <xf numFmtId="0" fontId="21" fillId="25" borderId="57" xfId="0" applyFont="1" applyFill="1" applyBorder="1" applyAlignment="1">
      <alignment horizontal="center" vertical="top" wrapText="1"/>
    </xf>
    <xf numFmtId="0" fontId="19" fillId="25" borderId="48" xfId="0" applyFont="1" applyFill="1" applyBorder="1" applyAlignment="1">
      <alignment horizontal="center" vertical="center"/>
    </xf>
    <xf numFmtId="0" fontId="19" fillId="25" borderId="52" xfId="0" applyFont="1" applyFill="1" applyBorder="1" applyAlignment="1">
      <alignment horizontal="center" vertical="center"/>
    </xf>
    <xf numFmtId="0" fontId="19" fillId="25" borderId="83" xfId="0" applyFont="1" applyFill="1" applyBorder="1" applyAlignment="1">
      <alignment horizontal="center" vertical="center" wrapText="1"/>
    </xf>
    <xf numFmtId="0" fontId="19" fillId="25" borderId="78" xfId="0" applyFont="1" applyFill="1" applyBorder="1" applyAlignment="1">
      <alignment horizontal="center" vertical="center" wrapText="1"/>
    </xf>
    <xf numFmtId="0" fontId="20" fillId="25" borderId="52" xfId="0" applyFont="1" applyFill="1" applyBorder="1" applyAlignment="1">
      <alignment horizontal="center" vertical="center"/>
    </xf>
    <xf numFmtId="0" fontId="19" fillId="25" borderId="84" xfId="0" applyFont="1" applyFill="1" applyBorder="1" applyAlignment="1">
      <alignment horizontal="center" vertical="center"/>
    </xf>
    <xf numFmtId="0" fontId="11" fillId="0" borderId="0" xfId="0" applyFont="1" applyAlignment="1">
      <alignment horizontal="left" wrapText="1"/>
    </xf>
    <xf numFmtId="0" fontId="8" fillId="0" borderId="0" xfId="0" applyFont="1" applyAlignment="1">
      <alignment horizontal="left" wrapText="1"/>
    </xf>
    <xf numFmtId="0" fontId="24" fillId="0" borderId="0" xfId="35" applyFont="1" applyAlignment="1" applyProtection="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6"/>
    <cellStyle name="Note" xfId="39" builtinId="10" customBuiltin="1"/>
    <cellStyle name="Note 2" xfId="45"/>
    <cellStyle name="Output" xfId="40" builtinId="21" customBuiltin="1"/>
    <cellStyle name="Title" xfId="41" builtinId="15" customBuiltin="1"/>
    <cellStyle name="Total" xfId="42" builtinId="25" customBuiltin="1"/>
    <cellStyle name="Warning Text" xfId="43" builtinId="11" customBuiltin="1"/>
  </cellStyles>
  <dxfs count="11">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10"/>
      </font>
    </dxf>
    <dxf>
      <font>
        <condense val="0"/>
        <extend val="0"/>
        <color indexed="10"/>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7277100</xdr:colOff>
      <xdr:row>1</xdr:row>
      <xdr:rowOff>60960</xdr:rowOff>
    </xdr:from>
    <xdr:to>
      <xdr:col>4</xdr:col>
      <xdr:colOff>0</xdr:colOff>
      <xdr:row>3</xdr:row>
      <xdr:rowOff>38100</xdr:rowOff>
    </xdr:to>
    <xdr:pic>
      <xdr:nvPicPr>
        <xdr:cNvPr id="3179" name="Picture 1" descr="webUnite_Vert_Eng_BlueV"/>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7180" y="365760"/>
          <a:ext cx="117348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7223760</xdr:colOff>
      <xdr:row>1</xdr:row>
      <xdr:rowOff>60960</xdr:rowOff>
    </xdr:from>
    <xdr:to>
      <xdr:col>4</xdr:col>
      <xdr:colOff>22860</xdr:colOff>
      <xdr:row>2</xdr:row>
      <xdr:rowOff>525780</xdr:rowOff>
    </xdr:to>
    <xdr:pic>
      <xdr:nvPicPr>
        <xdr:cNvPr id="7194" name="Picture 1" descr="webUnite_Vert_Eng_BlueV"/>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4820" y="533400"/>
          <a:ext cx="11734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7223760</xdr:colOff>
      <xdr:row>1</xdr:row>
      <xdr:rowOff>60960</xdr:rowOff>
    </xdr:from>
    <xdr:to>
      <xdr:col>4</xdr:col>
      <xdr:colOff>22860</xdr:colOff>
      <xdr:row>2</xdr:row>
      <xdr:rowOff>525780</xdr:rowOff>
    </xdr:to>
    <xdr:pic>
      <xdr:nvPicPr>
        <xdr:cNvPr id="8208" name="Picture 1" descr="webUnite_Vert_Eng_BlueV"/>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6240" y="533400"/>
          <a:ext cx="11734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xdr:colOff>
      <xdr:row>1</xdr:row>
      <xdr:rowOff>68580</xdr:rowOff>
    </xdr:from>
    <xdr:to>
      <xdr:col>6</xdr:col>
      <xdr:colOff>929640</xdr:colOff>
      <xdr:row>3</xdr:row>
      <xdr:rowOff>60960</xdr:rowOff>
    </xdr:to>
    <xdr:pic>
      <xdr:nvPicPr>
        <xdr:cNvPr id="2155" name="Picture 1" descr="Uniteandlogo_Eng_Blue"/>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27660"/>
          <a:ext cx="76504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upply.unicef.dk/catalogu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E32"/>
  <sheetViews>
    <sheetView showGridLines="0" view="pageBreakPreview" zoomScale="95" zoomScaleNormal="100" zoomScaleSheetLayoutView="95" workbookViewId="0">
      <pane ySplit="1" topLeftCell="A2" activePane="bottomLeft" state="frozen"/>
      <selection pane="bottomLeft" activeCell="B6" sqref="B6"/>
    </sheetView>
  </sheetViews>
  <sheetFormatPr defaultRowHeight="12.75" x14ac:dyDescent="0.2"/>
  <cols>
    <col min="1" max="1" width="9.28515625" customWidth="1"/>
    <col min="2" max="2" width="106.140625" customWidth="1"/>
    <col min="3" max="4" width="8.5703125" customWidth="1"/>
  </cols>
  <sheetData>
    <row r="1" spans="1:5" ht="24" customHeight="1" x14ac:dyDescent="0.3">
      <c r="A1" s="1" t="s">
        <v>323</v>
      </c>
      <c r="B1" s="350"/>
      <c r="C1" s="385" t="s">
        <v>324</v>
      </c>
      <c r="D1" s="350"/>
      <c r="E1" s="350"/>
    </row>
    <row r="3" spans="1:5" ht="33.75" customHeight="1" x14ac:dyDescent="0.2">
      <c r="A3" s="351"/>
      <c r="B3" s="352" t="s">
        <v>282</v>
      </c>
      <c r="C3" s="352"/>
      <c r="D3" s="352"/>
      <c r="E3" s="352"/>
    </row>
    <row r="4" spans="1:5" ht="41.25" customHeight="1" x14ac:dyDescent="0.2">
      <c r="A4" s="351"/>
      <c r="B4" s="352" t="s">
        <v>321</v>
      </c>
      <c r="C4" s="352"/>
      <c r="D4" s="352"/>
      <c r="E4" s="352"/>
    </row>
    <row r="5" spans="1:5" ht="33.75" customHeight="1" x14ac:dyDescent="0.2">
      <c r="A5" s="351"/>
      <c r="B5" s="352" t="s">
        <v>283</v>
      </c>
      <c r="C5" s="352"/>
    </row>
    <row r="6" spans="1:5" ht="59.25" customHeight="1" x14ac:dyDescent="0.2">
      <c r="A6" s="351" t="s">
        <v>330</v>
      </c>
      <c r="B6" s="352" t="s">
        <v>292</v>
      </c>
      <c r="C6" s="352"/>
      <c r="D6" s="352"/>
      <c r="E6" s="352"/>
    </row>
    <row r="7" spans="1:5" ht="21.75" customHeight="1" x14ac:dyDescent="0.2">
      <c r="A7" s="351"/>
      <c r="B7" s="353" t="s">
        <v>278</v>
      </c>
      <c r="C7" s="352"/>
      <c r="D7" s="352"/>
      <c r="E7" s="352"/>
    </row>
    <row r="8" spans="1:5" ht="46.5" customHeight="1" x14ac:dyDescent="0.2">
      <c r="A8" s="351">
        <v>1</v>
      </c>
      <c r="B8" s="352" t="s">
        <v>284</v>
      </c>
      <c r="C8" s="352"/>
      <c r="D8" s="352"/>
      <c r="E8" s="352"/>
    </row>
    <row r="9" spans="1:5" ht="75" customHeight="1" x14ac:dyDescent="0.2">
      <c r="A9" s="351">
        <v>2</v>
      </c>
      <c r="B9" s="352" t="s">
        <v>285</v>
      </c>
      <c r="C9" s="9"/>
      <c r="D9" s="9"/>
      <c r="E9" s="9"/>
    </row>
    <row r="10" spans="1:5" ht="72" customHeight="1" x14ac:dyDescent="0.2">
      <c r="A10" s="351">
        <v>3</v>
      </c>
      <c r="B10" s="352" t="s">
        <v>286</v>
      </c>
      <c r="C10" s="352"/>
      <c r="D10" s="352"/>
      <c r="E10" s="352"/>
    </row>
    <row r="11" spans="1:5" ht="36.75" customHeight="1" x14ac:dyDescent="0.2">
      <c r="A11" s="351">
        <v>4</v>
      </c>
      <c r="B11" s="352" t="s">
        <v>289</v>
      </c>
      <c r="C11" s="9"/>
      <c r="D11" s="9"/>
      <c r="E11" s="9"/>
    </row>
    <row r="12" spans="1:5" ht="60.75" customHeight="1" x14ac:dyDescent="0.2">
      <c r="A12" s="351">
        <v>5</v>
      </c>
      <c r="B12" s="352" t="s">
        <v>306</v>
      </c>
      <c r="C12" s="9"/>
      <c r="D12" s="9"/>
      <c r="E12" s="9"/>
    </row>
    <row r="13" spans="1:5" ht="36.75" customHeight="1" x14ac:dyDescent="0.2">
      <c r="A13" s="351">
        <v>6</v>
      </c>
      <c r="B13" s="352" t="s">
        <v>288</v>
      </c>
      <c r="C13" s="9"/>
      <c r="D13" s="9"/>
      <c r="E13" s="9"/>
    </row>
    <row r="14" spans="1:5" ht="32.25" customHeight="1" x14ac:dyDescent="0.2">
      <c r="A14" s="351" t="s">
        <v>279</v>
      </c>
      <c r="B14" s="9" t="s">
        <v>290</v>
      </c>
      <c r="C14" s="352"/>
      <c r="D14" s="352"/>
      <c r="E14" s="352"/>
    </row>
    <row r="15" spans="1:5" ht="56.25" customHeight="1" x14ac:dyDescent="0.2">
      <c r="A15" s="351"/>
      <c r="B15" s="9" t="s">
        <v>291</v>
      </c>
      <c r="C15" s="352"/>
      <c r="D15" s="352"/>
      <c r="E15" s="352"/>
    </row>
    <row r="16" spans="1:5" ht="15" customHeight="1" x14ac:dyDescent="0.2">
      <c r="A16" s="351"/>
      <c r="B16" s="352" t="s">
        <v>280</v>
      </c>
      <c r="C16" s="352"/>
      <c r="D16" s="352"/>
      <c r="E16" s="352"/>
    </row>
    <row r="17" spans="1:5" ht="54" customHeight="1" x14ac:dyDescent="0.2">
      <c r="A17" s="351"/>
      <c r="B17" s="352" t="s">
        <v>287</v>
      </c>
      <c r="C17" s="352"/>
      <c r="D17" s="352"/>
      <c r="E17" s="352"/>
    </row>
    <row r="19" spans="1:5" ht="15.75" x14ac:dyDescent="0.2">
      <c r="A19" s="351" t="s">
        <v>281</v>
      </c>
      <c r="B19" s="355" t="s">
        <v>293</v>
      </c>
    </row>
    <row r="21" spans="1:5" ht="15.75" customHeight="1" x14ac:dyDescent="0.2">
      <c r="B21" s="354"/>
      <c r="C21" s="354"/>
    </row>
    <row r="22" spans="1:5" ht="15.75" customHeight="1" x14ac:dyDescent="0.2">
      <c r="B22" s="354"/>
      <c r="C22" s="354"/>
    </row>
    <row r="23" spans="1:5" ht="15.75" customHeight="1" x14ac:dyDescent="0.2">
      <c r="B23" s="354"/>
      <c r="C23" s="354"/>
    </row>
    <row r="24" spans="1:5" ht="15.75" customHeight="1" x14ac:dyDescent="0.2">
      <c r="B24" s="354"/>
      <c r="C24" s="354"/>
    </row>
    <row r="32" spans="1:5" ht="15.75" x14ac:dyDescent="0.2">
      <c r="A32" s="398"/>
      <c r="B32" s="398"/>
    </row>
  </sheetData>
  <sheetProtection password="F206" sheet="1" formatColumns="0" formatRows="0"/>
  <mergeCells count="1">
    <mergeCell ref="A32:B32"/>
  </mergeCells>
  <phoneticPr fontId="3" type="noConversion"/>
  <hyperlinks>
    <hyperlink ref="B19" location="Input!B14" display="Go to Sheet Inputs"/>
    <hyperlink ref="B7" location="'Read Me'!A20" display="Input example below"/>
  </hyperlinks>
  <pageMargins left="0.31496062992125984" right="0.27559055118110237" top="0.9055118110236221" bottom="0.82677165354330717" header="0.51181102362204722" footer="0.47244094488188981"/>
  <pageSetup paperSize="9" scale="74" fitToHeight="2" orientation="portrait" r:id="rId1"/>
  <headerFooter alignWithMargins="0">
    <oddFooter>&amp;F&amp;RPage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E32"/>
  <sheetViews>
    <sheetView showGridLines="0" view="pageBreakPreview" zoomScale="95" zoomScaleNormal="100" zoomScaleSheetLayoutView="95" workbookViewId="0">
      <pane ySplit="1" topLeftCell="A2" activePane="bottomLeft" state="frozen"/>
      <selection pane="bottomLeft" activeCell="C1" sqref="C1:D1"/>
    </sheetView>
  </sheetViews>
  <sheetFormatPr defaultRowHeight="12.75" x14ac:dyDescent="0.2"/>
  <cols>
    <col min="1" max="1" width="12.5703125" customWidth="1"/>
    <col min="2" max="2" width="106.140625" customWidth="1"/>
    <col min="3" max="4" width="8" customWidth="1"/>
  </cols>
  <sheetData>
    <row r="1" spans="1:5" ht="37.5" customHeight="1" x14ac:dyDescent="0.3">
      <c r="A1" s="399" t="s">
        <v>325</v>
      </c>
      <c r="B1" s="399"/>
      <c r="C1" s="400" t="s">
        <v>343</v>
      </c>
      <c r="D1" s="400"/>
      <c r="E1" s="350"/>
    </row>
    <row r="2" spans="1:5" ht="9" customHeight="1" x14ac:dyDescent="0.2">
      <c r="A2" s="8"/>
    </row>
    <row r="3" spans="1:5" ht="42.75" customHeight="1" x14ac:dyDescent="0.2">
      <c r="A3" s="382"/>
      <c r="B3" s="352" t="s">
        <v>327</v>
      </c>
      <c r="C3" s="352"/>
      <c r="D3" s="352"/>
      <c r="E3" s="352"/>
    </row>
    <row r="4" spans="1:5" ht="41.25" customHeight="1" x14ac:dyDescent="0.2">
      <c r="A4" s="382"/>
      <c r="B4" s="352" t="s">
        <v>328</v>
      </c>
      <c r="C4" s="352"/>
      <c r="D4" s="352"/>
      <c r="E4" s="352"/>
    </row>
    <row r="5" spans="1:5" ht="33.75" customHeight="1" x14ac:dyDescent="0.2">
      <c r="A5" s="382"/>
      <c r="B5" s="352" t="s">
        <v>326</v>
      </c>
      <c r="C5" s="352"/>
    </row>
    <row r="6" spans="1:5" ht="57" customHeight="1" x14ac:dyDescent="0.2">
      <c r="A6" s="383" t="s">
        <v>329</v>
      </c>
      <c r="B6" s="352" t="s">
        <v>331</v>
      </c>
      <c r="C6" s="352"/>
      <c r="D6" s="352"/>
      <c r="E6" s="352"/>
    </row>
    <row r="7" spans="1:5" ht="21.75" customHeight="1" x14ac:dyDescent="0.2">
      <c r="A7" s="382"/>
      <c r="B7" s="353" t="s">
        <v>278</v>
      </c>
      <c r="C7" s="352"/>
      <c r="D7" s="352"/>
      <c r="E7" s="352"/>
    </row>
    <row r="8" spans="1:5" ht="45.75" customHeight="1" x14ac:dyDescent="0.2">
      <c r="A8" s="382">
        <v>1</v>
      </c>
      <c r="B8" s="352" t="s">
        <v>332</v>
      </c>
      <c r="C8" s="352"/>
      <c r="D8" s="352"/>
      <c r="E8" s="352"/>
    </row>
    <row r="9" spans="1:5" ht="95.25" customHeight="1" x14ac:dyDescent="0.2">
      <c r="A9" s="382">
        <v>2</v>
      </c>
      <c r="B9" s="352" t="s">
        <v>333</v>
      </c>
      <c r="C9" s="9"/>
      <c r="D9" s="9"/>
      <c r="E9" s="9"/>
    </row>
    <row r="10" spans="1:5" ht="82.5" customHeight="1" x14ac:dyDescent="0.2">
      <c r="A10" s="382">
        <v>3</v>
      </c>
      <c r="B10" s="352" t="s">
        <v>334</v>
      </c>
      <c r="C10" s="352"/>
      <c r="D10" s="352"/>
      <c r="E10" s="352"/>
    </row>
    <row r="11" spans="1:5" ht="44.25" customHeight="1" x14ac:dyDescent="0.2">
      <c r="A11" s="382">
        <v>4</v>
      </c>
      <c r="B11" s="352" t="s">
        <v>337</v>
      </c>
      <c r="C11" s="9"/>
      <c r="D11" s="9"/>
      <c r="E11" s="9"/>
    </row>
    <row r="12" spans="1:5" ht="70.5" customHeight="1" x14ac:dyDescent="0.2">
      <c r="A12" s="382">
        <v>5</v>
      </c>
      <c r="B12" s="352" t="s">
        <v>335</v>
      </c>
      <c r="C12" s="9"/>
      <c r="D12" s="9"/>
      <c r="E12" s="9"/>
    </row>
    <row r="13" spans="1:5" ht="33" customHeight="1" x14ac:dyDescent="0.2">
      <c r="A13" s="382">
        <v>6</v>
      </c>
      <c r="B13" s="352" t="s">
        <v>336</v>
      </c>
      <c r="C13" s="9"/>
      <c r="D13" s="9"/>
      <c r="E13" s="9"/>
    </row>
    <row r="14" spans="1:5" ht="32.25" customHeight="1" x14ac:dyDescent="0.2">
      <c r="A14" s="382" t="s">
        <v>279</v>
      </c>
      <c r="B14" s="9" t="s">
        <v>338</v>
      </c>
      <c r="C14" s="352"/>
      <c r="D14" s="352"/>
      <c r="E14" s="352"/>
    </row>
    <row r="15" spans="1:5" ht="56.25" customHeight="1" x14ac:dyDescent="0.2">
      <c r="A15" s="382"/>
      <c r="B15" s="9" t="s">
        <v>339</v>
      </c>
      <c r="C15" s="352"/>
      <c r="D15" s="352"/>
      <c r="E15" s="352"/>
    </row>
    <row r="16" spans="1:5" ht="15" customHeight="1" x14ac:dyDescent="0.2">
      <c r="A16" s="382"/>
      <c r="B16" s="352" t="s">
        <v>341</v>
      </c>
      <c r="C16" s="352"/>
      <c r="D16" s="352"/>
      <c r="E16" s="352"/>
    </row>
    <row r="17" spans="1:5" ht="90" customHeight="1" x14ac:dyDescent="0.2">
      <c r="A17" s="382"/>
      <c r="B17" s="352" t="s">
        <v>342</v>
      </c>
      <c r="C17" s="352"/>
      <c r="D17" s="352"/>
      <c r="E17" s="352"/>
    </row>
    <row r="18" spans="1:5" x14ac:dyDescent="0.2">
      <c r="A18" s="8"/>
    </row>
    <row r="19" spans="1:5" ht="15" x14ac:dyDescent="0.2">
      <c r="A19" s="384" t="s">
        <v>340</v>
      </c>
      <c r="B19" s="355" t="s">
        <v>293</v>
      </c>
    </row>
    <row r="20" spans="1:5" x14ac:dyDescent="0.2">
      <c r="A20" s="8"/>
    </row>
    <row r="21" spans="1:5" ht="15.75" customHeight="1" x14ac:dyDescent="0.2">
      <c r="A21" s="8"/>
      <c r="B21" s="354"/>
      <c r="C21" s="354"/>
    </row>
    <row r="22" spans="1:5" ht="15.75" customHeight="1" x14ac:dyDescent="0.2">
      <c r="A22" s="8"/>
      <c r="B22" s="354"/>
      <c r="C22" s="354"/>
    </row>
    <row r="23" spans="1:5" ht="15.75" customHeight="1" x14ac:dyDescent="0.2">
      <c r="A23" s="8"/>
      <c r="B23" s="354"/>
      <c r="C23" s="354"/>
    </row>
    <row r="24" spans="1:5" ht="15.75" customHeight="1" x14ac:dyDescent="0.2">
      <c r="A24" s="8"/>
      <c r="B24" s="354"/>
      <c r="C24" s="354"/>
    </row>
    <row r="25" spans="1:5" x14ac:dyDescent="0.2">
      <c r="A25" s="8"/>
    </row>
    <row r="26" spans="1:5" x14ac:dyDescent="0.2">
      <c r="A26" s="8"/>
    </row>
    <row r="27" spans="1:5" x14ac:dyDescent="0.2">
      <c r="A27" s="8"/>
    </row>
    <row r="28" spans="1:5" x14ac:dyDescent="0.2">
      <c r="A28" s="8"/>
    </row>
    <row r="29" spans="1:5" x14ac:dyDescent="0.2">
      <c r="A29" s="8"/>
    </row>
    <row r="32" spans="1:5" ht="15.75" x14ac:dyDescent="0.2">
      <c r="A32" s="398"/>
      <c r="B32" s="398"/>
    </row>
  </sheetData>
  <sheetProtection password="F206" sheet="1" objects="1" scenarios="1" formatColumns="0" formatRows="0"/>
  <mergeCells count="3">
    <mergeCell ref="A32:B32"/>
    <mergeCell ref="A1:B1"/>
    <mergeCell ref="C1:D1"/>
  </mergeCells>
  <hyperlinks>
    <hyperlink ref="B19" location="Input!B14" display="Go to Sheet Inputs"/>
    <hyperlink ref="B7" location="'Read Me'!A20" display="Input example below"/>
  </hyperlinks>
  <pageMargins left="0.31496062992125984" right="0.27559055118110237" top="0.9055118110236221" bottom="0.82677165354330717" header="0.51181102362204722" footer="0.47244094488188981"/>
  <pageSetup paperSize="9" scale="73" fitToHeight="2" orientation="portrait" r:id="rId1"/>
  <headerFooter alignWithMargins="0">
    <oddFooter>&amp;F&amp;RPage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E32"/>
  <sheetViews>
    <sheetView showGridLines="0" view="pageBreakPreview" zoomScale="95" zoomScaleNormal="100" zoomScaleSheetLayoutView="95" workbookViewId="0">
      <pane ySplit="1" topLeftCell="A2" activePane="bottomLeft" state="frozen"/>
      <selection pane="bottomLeft" activeCell="C1" sqref="C1:D1"/>
    </sheetView>
  </sheetViews>
  <sheetFormatPr defaultRowHeight="12.75" x14ac:dyDescent="0.2"/>
  <cols>
    <col min="1" max="1" width="11.5703125" customWidth="1"/>
    <col min="2" max="2" width="106.140625" customWidth="1"/>
    <col min="3" max="4" width="8" customWidth="1"/>
  </cols>
  <sheetData>
    <row r="1" spans="1:5" ht="37.5" customHeight="1" x14ac:dyDescent="0.3">
      <c r="A1" s="399" t="s">
        <v>344</v>
      </c>
      <c r="B1" s="399"/>
      <c r="C1" s="400" t="s">
        <v>362</v>
      </c>
      <c r="D1" s="400"/>
      <c r="E1" s="350"/>
    </row>
    <row r="2" spans="1:5" ht="9" customHeight="1" x14ac:dyDescent="0.2">
      <c r="A2" s="8"/>
    </row>
    <row r="3" spans="1:5" ht="42.75" customHeight="1" x14ac:dyDescent="0.2">
      <c r="A3" s="382"/>
      <c r="B3" s="352" t="s">
        <v>345</v>
      </c>
      <c r="C3" s="352"/>
      <c r="D3" s="352"/>
      <c r="E3" s="352"/>
    </row>
    <row r="4" spans="1:5" ht="41.25" customHeight="1" x14ac:dyDescent="0.2">
      <c r="A4" s="382"/>
      <c r="B4" s="352" t="s">
        <v>346</v>
      </c>
      <c r="C4" s="352"/>
      <c r="D4" s="352"/>
      <c r="E4" s="352"/>
    </row>
    <row r="5" spans="1:5" ht="33.75" customHeight="1" x14ac:dyDescent="0.2">
      <c r="A5" s="382"/>
      <c r="B5" s="352" t="s">
        <v>347</v>
      </c>
      <c r="C5" s="352"/>
    </row>
    <row r="6" spans="1:5" ht="69" customHeight="1" x14ac:dyDescent="0.2">
      <c r="A6" s="383" t="s">
        <v>348</v>
      </c>
      <c r="B6" s="352" t="s">
        <v>363</v>
      </c>
      <c r="C6" s="352"/>
      <c r="D6" s="352"/>
      <c r="E6" s="352"/>
    </row>
    <row r="7" spans="1:5" ht="21.75" customHeight="1" x14ac:dyDescent="0.2">
      <c r="A7" s="382"/>
      <c r="B7" s="353" t="s">
        <v>349</v>
      </c>
      <c r="C7" s="352"/>
      <c r="D7" s="352"/>
      <c r="E7" s="352"/>
    </row>
    <row r="8" spans="1:5" ht="45.75" customHeight="1" x14ac:dyDescent="0.2">
      <c r="A8" s="382">
        <v>1</v>
      </c>
      <c r="B8" s="352" t="s">
        <v>350</v>
      </c>
      <c r="C8" s="352"/>
      <c r="D8" s="352"/>
      <c r="E8" s="352"/>
    </row>
    <row r="9" spans="1:5" ht="95.25" customHeight="1" x14ac:dyDescent="0.2">
      <c r="A9" s="382">
        <v>2</v>
      </c>
      <c r="B9" s="352" t="s">
        <v>351</v>
      </c>
      <c r="C9" s="9"/>
      <c r="D9" s="9"/>
      <c r="E9" s="9"/>
    </row>
    <row r="10" spans="1:5" ht="82.5" customHeight="1" x14ac:dyDescent="0.2">
      <c r="A10" s="382">
        <v>3</v>
      </c>
      <c r="B10" s="352" t="s">
        <v>352</v>
      </c>
      <c r="C10" s="352"/>
      <c r="D10" s="352"/>
      <c r="E10" s="352"/>
    </row>
    <row r="11" spans="1:5" ht="44.25" customHeight="1" x14ac:dyDescent="0.2">
      <c r="A11" s="382">
        <v>4</v>
      </c>
      <c r="B11" s="352" t="s">
        <v>353</v>
      </c>
      <c r="C11" s="9"/>
      <c r="D11" s="9"/>
      <c r="E11" s="9"/>
    </row>
    <row r="12" spans="1:5" ht="70.5" customHeight="1" x14ac:dyDescent="0.2">
      <c r="A12" s="382">
        <v>5</v>
      </c>
      <c r="B12" s="352" t="s">
        <v>354</v>
      </c>
      <c r="C12" s="9"/>
      <c r="D12" s="9"/>
      <c r="E12" s="9"/>
    </row>
    <row r="13" spans="1:5" ht="33" customHeight="1" x14ac:dyDescent="0.2">
      <c r="A13" s="382">
        <v>6</v>
      </c>
      <c r="B13" s="352" t="s">
        <v>355</v>
      </c>
      <c r="C13" s="9"/>
      <c r="D13" s="9"/>
      <c r="E13" s="9"/>
    </row>
    <row r="14" spans="1:5" ht="32.25" customHeight="1" x14ac:dyDescent="0.2">
      <c r="A14" s="383" t="s">
        <v>361</v>
      </c>
      <c r="B14" s="9" t="s">
        <v>356</v>
      </c>
      <c r="C14" s="352"/>
      <c r="D14" s="352"/>
      <c r="E14" s="352"/>
    </row>
    <row r="15" spans="1:5" ht="46.5" customHeight="1" x14ac:dyDescent="0.2">
      <c r="A15" s="382"/>
      <c r="B15" s="9" t="s">
        <v>357</v>
      </c>
      <c r="C15" s="352"/>
      <c r="D15" s="352"/>
      <c r="E15" s="352"/>
    </row>
    <row r="16" spans="1:5" ht="15" customHeight="1" x14ac:dyDescent="0.2">
      <c r="A16" s="382"/>
      <c r="B16" s="352" t="s">
        <v>358</v>
      </c>
      <c r="C16" s="352"/>
      <c r="D16" s="352"/>
      <c r="E16" s="352"/>
    </row>
    <row r="17" spans="1:5" ht="90" customHeight="1" x14ac:dyDescent="0.2">
      <c r="A17" s="382"/>
      <c r="B17" s="352" t="s">
        <v>359</v>
      </c>
      <c r="C17" s="352"/>
      <c r="D17" s="352"/>
      <c r="E17" s="352"/>
    </row>
    <row r="18" spans="1:5" x14ac:dyDescent="0.2">
      <c r="A18" s="8"/>
    </row>
    <row r="19" spans="1:5" ht="15" x14ac:dyDescent="0.2">
      <c r="A19" s="382" t="s">
        <v>360</v>
      </c>
      <c r="B19" s="355" t="s">
        <v>293</v>
      </c>
    </row>
    <row r="20" spans="1:5" x14ac:dyDescent="0.2">
      <c r="A20" s="8"/>
    </row>
    <row r="21" spans="1:5" ht="15.75" customHeight="1" x14ac:dyDescent="0.2">
      <c r="A21" s="8"/>
      <c r="B21" s="354"/>
      <c r="C21" s="354"/>
    </row>
    <row r="22" spans="1:5" ht="15.75" customHeight="1" x14ac:dyDescent="0.2">
      <c r="A22" s="8"/>
      <c r="B22" s="354"/>
      <c r="C22" s="354"/>
    </row>
    <row r="23" spans="1:5" ht="15.75" customHeight="1" x14ac:dyDescent="0.2">
      <c r="A23" s="8"/>
      <c r="B23" s="354"/>
      <c r="C23" s="354"/>
    </row>
    <row r="24" spans="1:5" ht="15.75" customHeight="1" x14ac:dyDescent="0.2">
      <c r="A24" s="8"/>
      <c r="B24" s="354"/>
      <c r="C24" s="354"/>
    </row>
    <row r="25" spans="1:5" x14ac:dyDescent="0.2">
      <c r="A25" s="8"/>
    </row>
    <row r="26" spans="1:5" x14ac:dyDescent="0.2">
      <c r="A26" s="8"/>
    </row>
    <row r="27" spans="1:5" x14ac:dyDescent="0.2">
      <c r="A27" s="8"/>
    </row>
    <row r="28" spans="1:5" x14ac:dyDescent="0.2">
      <c r="A28" s="8"/>
    </row>
    <row r="29" spans="1:5" x14ac:dyDescent="0.2">
      <c r="A29" s="8"/>
    </row>
    <row r="32" spans="1:5" ht="15.75" x14ac:dyDescent="0.2">
      <c r="A32" s="398"/>
      <c r="B32" s="398"/>
    </row>
  </sheetData>
  <sheetProtection password="F206" sheet="1" objects="1" scenarios="1" formatColumns="0" formatRows="0"/>
  <mergeCells count="3">
    <mergeCell ref="A1:B1"/>
    <mergeCell ref="C1:D1"/>
    <mergeCell ref="A32:B32"/>
  </mergeCells>
  <hyperlinks>
    <hyperlink ref="B19" location="Input!B14" display="Go to Sheet Inputs"/>
    <hyperlink ref="B7" location="'Read Me'!A20" display="Input example below"/>
  </hyperlinks>
  <pageMargins left="0.31496062992125984" right="0.27559055118110237" top="0.9055118110236221" bottom="0.82677165354330717" header="0.51181102362204722" footer="0.47244094488188981"/>
  <pageSetup paperSize="9" scale="73" fitToHeight="2" orientation="portrait" r:id="rId1"/>
  <headerFooter alignWithMargins="0">
    <oddFooter>&amp;F&amp;RPage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44"/>
  <sheetViews>
    <sheetView showGridLines="0" tabSelected="1" view="pageBreakPreview" zoomScale="95" zoomScaleNormal="100" zoomScaleSheetLayoutView="95" workbookViewId="0">
      <selection activeCell="B36" sqref="B36"/>
    </sheetView>
  </sheetViews>
  <sheetFormatPr defaultColWidth="9.140625" defaultRowHeight="12.75" x14ac:dyDescent="0.2"/>
  <cols>
    <col min="1" max="1" width="3.28515625" style="205" customWidth="1"/>
    <col min="2" max="2" width="36.7109375" style="205" customWidth="1"/>
    <col min="3" max="3" width="12.42578125" style="205" customWidth="1"/>
    <col min="4" max="4" width="10.7109375" style="205" customWidth="1"/>
    <col min="5" max="5" width="10.42578125" style="205" customWidth="1"/>
    <col min="6" max="6" width="9.7109375" style="205" customWidth="1"/>
    <col min="7" max="8" width="9.140625" style="205"/>
    <col min="9" max="9" width="9.28515625" style="205" customWidth="1"/>
    <col min="10" max="11" width="9.140625" style="205"/>
    <col min="12" max="12" width="10" style="205" customWidth="1"/>
    <col min="13" max="13" width="9" style="205" customWidth="1"/>
    <col min="14" max="17" width="9.140625" style="205"/>
    <col min="18" max="18" width="9.140625" style="205" customWidth="1"/>
    <col min="19" max="19" width="13" style="205" customWidth="1"/>
    <col min="20" max="16384" width="9.140625" style="205"/>
  </cols>
  <sheetData>
    <row r="1" spans="1:16" s="203" customFormat="1" ht="18.75" customHeight="1" x14ac:dyDescent="0.35">
      <c r="A1" s="1" t="s">
        <v>12</v>
      </c>
      <c r="B1" s="2"/>
      <c r="C1" s="2"/>
      <c r="D1" s="2"/>
      <c r="E1" s="2"/>
      <c r="F1" s="3"/>
      <c r="G1" s="3"/>
      <c r="H1" s="3"/>
      <c r="I1" s="4"/>
      <c r="J1" s="2"/>
      <c r="K1" s="5"/>
      <c r="L1" s="3"/>
      <c r="M1" s="3"/>
      <c r="N1" s="3"/>
      <c r="O1" s="6"/>
      <c r="P1" s="7"/>
    </row>
    <row r="2" spans="1:16" s="203" customFormat="1" ht="13.5" thickBot="1" x14ac:dyDescent="0.25">
      <c r="A2" s="204"/>
      <c r="B2" s="204"/>
      <c r="C2" s="204"/>
      <c r="D2" s="204"/>
    </row>
    <row r="3" spans="1:16" s="203" customFormat="1" x14ac:dyDescent="0.2">
      <c r="A3" s="205"/>
      <c r="B3" s="10" t="s">
        <v>13</v>
      </c>
      <c r="C3" s="11"/>
      <c r="D3" s="12"/>
      <c r="E3" s="12"/>
      <c r="F3" s="12"/>
      <c r="G3" s="13"/>
      <c r="H3" s="12"/>
      <c r="I3" s="12"/>
      <c r="J3" s="12"/>
      <c r="K3" s="206"/>
      <c r="L3" s="205"/>
      <c r="M3" s="205"/>
      <c r="N3" s="205"/>
      <c r="O3" s="205"/>
      <c r="P3" s="205"/>
    </row>
    <row r="4" spans="1:16" s="203" customFormat="1" ht="12.75" customHeight="1" x14ac:dyDescent="0.2">
      <c r="A4" s="205"/>
      <c r="B4" s="14" t="s">
        <v>14</v>
      </c>
      <c r="C4" s="15"/>
      <c r="D4" s="207"/>
      <c r="E4" s="405" t="s">
        <v>15</v>
      </c>
      <c r="F4" s="406"/>
      <c r="G4" s="407"/>
      <c r="H4" s="15"/>
      <c r="I4" s="15"/>
      <c r="J4" s="15"/>
      <c r="K4" s="208"/>
      <c r="L4" s="205"/>
      <c r="M4" s="205"/>
      <c r="N4" s="205"/>
      <c r="O4" s="205"/>
      <c r="P4" s="205"/>
    </row>
    <row r="5" spans="1:16" s="203" customFormat="1" x14ac:dyDescent="0.2">
      <c r="A5" s="205"/>
      <c r="B5" s="14" t="s">
        <v>16</v>
      </c>
      <c r="C5" s="15"/>
      <c r="D5" s="15"/>
      <c r="E5" s="16"/>
      <c r="F5" s="15"/>
      <c r="G5" s="17"/>
      <c r="H5" s="15"/>
      <c r="I5" s="15"/>
      <c r="J5" s="15"/>
      <c r="K5" s="208"/>
      <c r="L5" s="205"/>
      <c r="M5" s="205"/>
      <c r="N5" s="205"/>
      <c r="O5" s="205"/>
      <c r="P5" s="205"/>
    </row>
    <row r="6" spans="1:16" s="203" customFormat="1" x14ac:dyDescent="0.2">
      <c r="A6" s="205"/>
      <c r="B6" s="14" t="s">
        <v>17</v>
      </c>
      <c r="C6" s="15"/>
      <c r="D6" s="15"/>
      <c r="E6" s="15"/>
      <c r="F6" s="15"/>
      <c r="G6" s="17"/>
      <c r="H6" s="15"/>
      <c r="I6" s="15"/>
      <c r="J6" s="15"/>
      <c r="K6" s="208"/>
      <c r="L6" s="205"/>
      <c r="M6" s="205"/>
      <c r="N6" s="205"/>
      <c r="O6" s="205"/>
      <c r="P6" s="205"/>
    </row>
    <row r="7" spans="1:16" s="203" customFormat="1" x14ac:dyDescent="0.2">
      <c r="A7" s="205"/>
      <c r="B7" s="14" t="s">
        <v>18</v>
      </c>
      <c r="C7" s="15"/>
      <c r="D7" s="15"/>
      <c r="E7" s="15"/>
      <c r="F7" s="15"/>
      <c r="G7" s="17"/>
      <c r="H7" s="15"/>
      <c r="I7" s="15"/>
      <c r="J7" s="15"/>
      <c r="K7" s="208"/>
      <c r="L7" s="205"/>
      <c r="M7" s="205"/>
      <c r="N7" s="205"/>
      <c r="O7" s="205"/>
      <c r="P7" s="205"/>
    </row>
    <row r="8" spans="1:16" s="203" customFormat="1" x14ac:dyDescent="0.2">
      <c r="A8" s="205"/>
      <c r="B8" s="14" t="s">
        <v>19</v>
      </c>
      <c r="C8" s="15"/>
      <c r="D8" s="15"/>
      <c r="E8" s="15"/>
      <c r="F8" s="15"/>
      <c r="G8" s="17"/>
      <c r="H8" s="15"/>
      <c r="I8" s="15"/>
      <c r="J8" s="15"/>
      <c r="K8" s="208"/>
      <c r="L8" s="205"/>
      <c r="M8" s="205"/>
      <c r="N8" s="205"/>
      <c r="O8" s="205"/>
      <c r="P8" s="205"/>
    </row>
    <row r="9" spans="1:16" s="203" customFormat="1" ht="13.5" thickBot="1" x14ac:dyDescent="0.25">
      <c r="A9" s="205"/>
      <c r="B9" s="18" t="s">
        <v>20</v>
      </c>
      <c r="C9" s="19"/>
      <c r="D9" s="19"/>
      <c r="E9" s="19"/>
      <c r="F9" s="19"/>
      <c r="G9" s="20"/>
      <c r="H9" s="19"/>
      <c r="I9" s="19"/>
      <c r="J9" s="19"/>
      <c r="K9" s="209"/>
      <c r="L9" s="205"/>
      <c r="M9" s="205"/>
      <c r="N9" s="205"/>
      <c r="O9" s="205"/>
      <c r="P9" s="205"/>
    </row>
    <row r="10" spans="1:16" s="203" customFormat="1" x14ac:dyDescent="0.2">
      <c r="A10" s="205"/>
      <c r="B10" s="210"/>
      <c r="C10" s="210"/>
      <c r="D10" s="210"/>
      <c r="E10" s="211"/>
      <c r="F10" s="211"/>
      <c r="G10" s="211"/>
      <c r="H10" s="211"/>
      <c r="I10" s="211"/>
      <c r="J10" s="211"/>
      <c r="K10" s="205"/>
      <c r="L10" s="205"/>
      <c r="M10" s="205"/>
      <c r="N10" s="205"/>
      <c r="O10" s="205"/>
      <c r="P10" s="205"/>
    </row>
    <row r="11" spans="1:16" s="215" customFormat="1" ht="15" x14ac:dyDescent="0.2">
      <c r="A11" s="212" t="s">
        <v>52</v>
      </c>
      <c r="B11" s="213"/>
      <c r="C11" s="213"/>
      <c r="D11" s="213"/>
      <c r="E11" s="214"/>
      <c r="F11" s="214"/>
      <c r="G11" s="214"/>
      <c r="H11" s="214"/>
      <c r="I11" s="214"/>
      <c r="J11" s="214"/>
      <c r="K11" s="205"/>
      <c r="L11" s="205"/>
      <c r="M11" s="205"/>
      <c r="N11" s="205"/>
      <c r="O11" s="205"/>
      <c r="P11" s="205"/>
    </row>
    <row r="12" spans="1:16" s="203" customFormat="1" ht="13.5" thickBot="1" x14ac:dyDescent="0.25">
      <c r="A12" s="216"/>
      <c r="B12" s="216"/>
      <c r="C12" s="216"/>
      <c r="D12" s="216"/>
      <c r="E12" s="217"/>
      <c r="F12" s="217"/>
      <c r="G12" s="217"/>
      <c r="H12" s="218"/>
      <c r="I12" s="217"/>
      <c r="J12" s="217"/>
      <c r="K12" s="205"/>
      <c r="L12" s="205"/>
      <c r="M12" s="205"/>
      <c r="N12" s="205"/>
      <c r="O12" s="205"/>
      <c r="P12" s="205"/>
    </row>
    <row r="13" spans="1:16" s="203" customFormat="1" x14ac:dyDescent="0.2">
      <c r="A13" s="216"/>
      <c r="B13" s="219" t="s">
        <v>65</v>
      </c>
      <c r="C13" s="220"/>
      <c r="D13" s="216"/>
      <c r="E13" s="217"/>
      <c r="F13" s="217"/>
      <c r="G13" s="217"/>
      <c r="H13" s="218"/>
      <c r="I13" s="217"/>
      <c r="J13" s="217"/>
      <c r="K13" s="205"/>
      <c r="L13" s="205"/>
      <c r="M13" s="205"/>
      <c r="N13" s="205"/>
      <c r="O13" s="205"/>
      <c r="P13" s="205"/>
    </row>
    <row r="14" spans="1:16" s="203" customFormat="1" ht="13.5" thickBot="1" x14ac:dyDescent="0.25">
      <c r="A14" s="216"/>
      <c r="B14" s="200" t="s">
        <v>294</v>
      </c>
      <c r="C14" s="221"/>
      <c r="D14" s="221" t="str">
        <f ca="1">IF(ISBLANK(B14),"Must make a selection for cell " &amp;CELL("address",B14), " Ok input")</f>
        <v xml:space="preserve"> Ok input</v>
      </c>
      <c r="E14" s="217"/>
      <c r="F14" s="217"/>
      <c r="G14" s="217"/>
      <c r="H14" s="218"/>
      <c r="I14" s="217"/>
      <c r="J14" s="217"/>
      <c r="K14" s="205"/>
      <c r="L14" s="205"/>
      <c r="M14" s="205"/>
      <c r="N14" s="205"/>
      <c r="O14" s="205"/>
      <c r="P14" s="205"/>
    </row>
    <row r="15" spans="1:16" s="222" customFormat="1" thickBot="1" x14ac:dyDescent="0.25"/>
    <row r="16" spans="1:16" s="222" customFormat="1" ht="12" x14ac:dyDescent="0.2">
      <c r="B16" s="223" t="s">
        <v>53</v>
      </c>
      <c r="C16" s="201">
        <v>2012</v>
      </c>
      <c r="D16" s="221" t="str">
        <f ca="1">IF(ISBLANK(C16),"Must make a selection for cell " &amp;CELL("address",C16), " Ok input")</f>
        <v xml:space="preserve"> Ok input</v>
      </c>
    </row>
    <row r="17" spans="1:7" s="222" customFormat="1" thickBot="1" x14ac:dyDescent="0.25">
      <c r="B17" s="224" t="s">
        <v>54</v>
      </c>
      <c r="C17" s="202" t="s">
        <v>68</v>
      </c>
      <c r="D17" s="221" t="str">
        <f ca="1">IF(ISBLANK(C17),"Must make a selection for cell " &amp;CELL("address",C17), " Ok input")</f>
        <v xml:space="preserve"> Ok input</v>
      </c>
    </row>
    <row r="18" spans="1:7" ht="13.5" thickBot="1" x14ac:dyDescent="0.25"/>
    <row r="19" spans="1:7" x14ac:dyDescent="0.2">
      <c r="B19" s="225" t="s">
        <v>55</v>
      </c>
      <c r="C19" s="27">
        <v>0</v>
      </c>
      <c r="D19" s="221" t="str">
        <f ca="1">IF(ISBLANK(C19)," Input cell "&amp;CELL("address",C19)," Ok input")</f>
        <v xml:space="preserve"> Ok input</v>
      </c>
    </row>
    <row r="20" spans="1:7" x14ac:dyDescent="0.2">
      <c r="B20" s="226" t="s">
        <v>56</v>
      </c>
      <c r="C20" s="28">
        <v>0</v>
      </c>
      <c r="D20" s="221" t="str">
        <f ca="1">IF(ISBLANK(C20)," Input cell "&amp;CELL("address",C20),IF(C20=0," Input value greater then 0 for cell "&amp;CELL("address",C20)," Ok input"))</f>
        <v xml:space="preserve"> Input value greater then 0 for cell $C$20</v>
      </c>
    </row>
    <row r="21" spans="1:7" x14ac:dyDescent="0.2">
      <c r="B21" s="227" t="s">
        <v>57</v>
      </c>
      <c r="C21" s="228">
        <f>(C19*C20)</f>
        <v>0</v>
      </c>
    </row>
    <row r="22" spans="1:7" x14ac:dyDescent="0.2">
      <c r="B22" s="226" t="s">
        <v>58</v>
      </c>
      <c r="C22" s="28">
        <v>0</v>
      </c>
      <c r="D22" s="221" t="str">
        <f ca="1">IF(ISBLANK(C22)," Input cell "&amp;CELL("address",C22),IF(C22=0," Input value greater then 0 for cell "&amp;CELL("address",C22)," Ok input"))</f>
        <v xml:space="preserve"> Input value greater then 0 for cell $C$22</v>
      </c>
      <c r="E22" s="229" t="s">
        <v>59</v>
      </c>
    </row>
    <row r="23" spans="1:7" x14ac:dyDescent="0.2">
      <c r="B23" s="230" t="s">
        <v>60</v>
      </c>
      <c r="C23" s="199">
        <v>1</v>
      </c>
      <c r="D23" s="221" t="str">
        <f ca="1">IF(ISBLANK(C23)," Input cell "&amp;CELL("address",C23)," Ok input")</f>
        <v xml:space="preserve"> Ok input</v>
      </c>
      <c r="E23" s="229" t="s">
        <v>61</v>
      </c>
    </row>
    <row r="24" spans="1:7" x14ac:dyDescent="0.2">
      <c r="B24" s="231" t="s">
        <v>62</v>
      </c>
      <c r="C24" s="232"/>
      <c r="D24" s="233"/>
      <c r="E24" s="229" t="s">
        <v>63</v>
      </c>
    </row>
    <row r="25" spans="1:7" ht="13.5" thickBot="1" x14ac:dyDescent="0.25">
      <c r="B25" s="234" t="s">
        <v>64</v>
      </c>
      <c r="C25" s="235">
        <f>ROUNDUP(C21*C22*C23,0)</f>
        <v>0</v>
      </c>
    </row>
    <row r="26" spans="1:7" x14ac:dyDescent="0.2">
      <c r="B26" s="234" t="s">
        <v>66</v>
      </c>
      <c r="C26" s="415"/>
      <c r="D26" s="416"/>
      <c r="E26" s="416"/>
      <c r="F26" s="417"/>
      <c r="G26" s="229" t="s">
        <v>257</v>
      </c>
    </row>
    <row r="27" spans="1:7" ht="13.5" thickBot="1" x14ac:dyDescent="0.25">
      <c r="B27" s="236" t="s">
        <v>67</v>
      </c>
      <c r="C27" s="418"/>
      <c r="D27" s="419"/>
      <c r="E27" s="419"/>
      <c r="F27" s="420"/>
      <c r="G27" s="229" t="s">
        <v>258</v>
      </c>
    </row>
    <row r="30" spans="1:7" s="203" customFormat="1" ht="15" x14ac:dyDescent="0.2">
      <c r="A30" s="212" t="s">
        <v>92</v>
      </c>
      <c r="B30" s="204"/>
      <c r="C30" s="204"/>
      <c r="D30" s="204"/>
    </row>
    <row r="31" spans="1:7" s="203" customFormat="1" x14ac:dyDescent="0.2">
      <c r="A31" s="204"/>
      <c r="B31" s="229" t="s">
        <v>87</v>
      </c>
      <c r="C31" s="204"/>
      <c r="D31" s="204"/>
    </row>
    <row r="32" spans="1:7" s="203" customFormat="1" x14ac:dyDescent="0.2">
      <c r="A32" s="204"/>
      <c r="B32" s="229" t="s">
        <v>88</v>
      </c>
      <c r="C32" s="204"/>
      <c r="D32" s="204"/>
    </row>
    <row r="33" spans="1:12" s="203" customFormat="1" ht="21" customHeight="1" thickBot="1" x14ac:dyDescent="0.3">
      <c r="A33" s="204"/>
      <c r="B33" s="237" t="s">
        <v>89</v>
      </c>
      <c r="C33" s="237"/>
      <c r="D33" s="237"/>
      <c r="E33" s="237"/>
      <c r="F33" s="237"/>
      <c r="G33" s="237"/>
      <c r="H33" s="237"/>
      <c r="I33" s="237"/>
      <c r="J33" s="237"/>
      <c r="K33" s="237"/>
      <c r="L33" s="237"/>
    </row>
    <row r="34" spans="1:12" s="203" customFormat="1" ht="21" customHeight="1" x14ac:dyDescent="0.2">
      <c r="A34" s="204"/>
      <c r="B34" s="238" t="s">
        <v>90</v>
      </c>
      <c r="C34" s="239" t="s">
        <v>24</v>
      </c>
      <c r="D34" s="408" t="s">
        <v>93</v>
      </c>
      <c r="E34" s="408"/>
      <c r="F34" s="408" t="s">
        <v>262</v>
      </c>
      <c r="G34" s="408"/>
      <c r="H34" s="240" t="s">
        <v>91</v>
      </c>
      <c r="I34" s="241"/>
      <c r="J34" s="242"/>
    </row>
    <row r="35" spans="1:12" s="203" customFormat="1" x14ac:dyDescent="0.2">
      <c r="A35" s="243">
        <v>1</v>
      </c>
      <c r="B35" s="329" t="s">
        <v>295</v>
      </c>
      <c r="C35" s="244" t="str">
        <f t="shared" ref="C35:C49" si="0">IF(B35="","",INDEX(products_all,MATCH(B35,products_dd,0),3))</f>
        <v>sachet 42g</v>
      </c>
      <c r="D35" s="245">
        <v>0.2</v>
      </c>
      <c r="E35" s="246" t="str">
        <f t="shared" ref="E35:E49" si="1">IF(F35&gt;D35,"More :",IF(F35&lt;D35,"Less :",""))</f>
        <v/>
      </c>
      <c r="F35" s="37">
        <v>0.2</v>
      </c>
      <c r="G35" s="221" t="str">
        <f ca="1">IF(ISBLANK(B35),"",(IF(ISBLANK(F35)," Input "&amp;CELL("address",F35)," Ok input")))</f>
        <v xml:space="preserve"> Ok input</v>
      </c>
      <c r="H35" s="36">
        <v>0.1</v>
      </c>
      <c r="I35" s="221" t="str">
        <f ca="1">IF(ISBLANK(B35),"",(IF(ISBLANK(H35)," Input cell "&amp;CELL("address",H35),IF(OR(H35&lt;0, H35&gt;0.2)," Input value between 0 - 20% in cell "&amp;CELL("address",H35)," Ok input"))))</f>
        <v xml:space="preserve"> Ok input</v>
      </c>
      <c r="J35" s="221"/>
      <c r="K35" s="229">
        <f t="shared" ref="K35:K49" si="2">IF(B35="","",INDEX(products_all,MATCH(B35,products_dd,0),11))</f>
        <v>0</v>
      </c>
    </row>
    <row r="36" spans="1:12" s="203" customFormat="1" ht="24" x14ac:dyDescent="0.2">
      <c r="A36" s="243">
        <f>IF(COUNTIF($B$35:B36,B36)=1,A35+1,A35)</f>
        <v>2</v>
      </c>
      <c r="B36" s="329" t="s">
        <v>298</v>
      </c>
      <c r="C36" s="244" t="str">
        <f t="shared" si="0"/>
        <v>sachet 102.5g</v>
      </c>
      <c r="D36" s="245">
        <f t="shared" ref="D36:D49" si="3">IF(B36="","",INDEX(products_all,MATCH(B36,products_dd,0),4))</f>
        <v>12</v>
      </c>
      <c r="E36" s="246" t="str">
        <f t="shared" si="1"/>
        <v/>
      </c>
      <c r="F36" s="37">
        <v>12</v>
      </c>
      <c r="G36" s="221" t="str">
        <f t="shared" ref="G36:G48" ca="1" si="4">IF(ISBLANK(B36),"",(IF(ISBLANK(F36)," Input "&amp;CELL("address",F36)," Ok input")))</f>
        <v xml:space="preserve"> Ok input</v>
      </c>
      <c r="H36" s="36">
        <v>0.1</v>
      </c>
      <c r="I36" s="221" t="str">
        <f t="shared" ref="I36:I49" ca="1" si="5">IF(ISBLANK(B36),"",(IF(ISBLANK(H36)," Input cell "&amp;CELL("address",H36),IF(OR(H36&lt;0, H36&gt;0.2)," Input value between 0 - 20% in cell "&amp;CELL("address",H36)," Ok input"))))</f>
        <v xml:space="preserve"> Ok input</v>
      </c>
      <c r="J36" s="247"/>
      <c r="K36" s="229">
        <f t="shared" si="2"/>
        <v>0</v>
      </c>
    </row>
    <row r="37" spans="1:12" s="203" customFormat="1" x14ac:dyDescent="0.2">
      <c r="A37" s="243">
        <f>IF(COUNTIF($B$35:B37,B37)=1,A36+1,A36)</f>
        <v>3</v>
      </c>
      <c r="B37" s="329" t="s">
        <v>302</v>
      </c>
      <c r="C37" s="244" t="str">
        <f t="shared" si="0"/>
        <v>sachet 114g</v>
      </c>
      <c r="D37" s="245">
        <f t="shared" si="3"/>
        <v>4</v>
      </c>
      <c r="E37" s="246" t="str">
        <f t="shared" si="1"/>
        <v/>
      </c>
      <c r="F37" s="37">
        <v>4</v>
      </c>
      <c r="G37" s="221" t="str">
        <f t="shared" ca="1" si="4"/>
        <v xml:space="preserve"> Ok input</v>
      </c>
      <c r="H37" s="36">
        <v>0.1</v>
      </c>
      <c r="I37" s="221" t="str">
        <f t="shared" ca="1" si="5"/>
        <v xml:space="preserve"> Ok input</v>
      </c>
      <c r="J37" s="247"/>
      <c r="K37" s="229" t="str">
        <f t="shared" si="2"/>
        <v>• If you use Therapeutic spread instead of F100 for transition, remove F100 from the Inpatient supplies list</v>
      </c>
    </row>
    <row r="38" spans="1:12" s="203" customFormat="1" x14ac:dyDescent="0.2">
      <c r="A38" s="243">
        <f>IF(COUNTIF($B$35:B38,B38)=1,A37+1,A37)</f>
        <v>4</v>
      </c>
      <c r="B38" s="329" t="s">
        <v>30</v>
      </c>
      <c r="C38" s="244" t="str">
        <f t="shared" si="0"/>
        <v>Tab</v>
      </c>
      <c r="D38" s="245">
        <f t="shared" si="3"/>
        <v>1</v>
      </c>
      <c r="E38" s="246" t="str">
        <f t="shared" si="1"/>
        <v/>
      </c>
      <c r="F38" s="37">
        <v>1</v>
      </c>
      <c r="G38" s="221" t="str">
        <f t="shared" ca="1" si="4"/>
        <v xml:space="preserve"> Ok input</v>
      </c>
      <c r="H38" s="36">
        <v>0.1</v>
      </c>
      <c r="I38" s="221" t="str">
        <f t="shared" ca="1" si="5"/>
        <v xml:space="preserve"> Ok input</v>
      </c>
      <c r="J38" s="247"/>
      <c r="K38" s="229">
        <f t="shared" si="2"/>
        <v>0</v>
      </c>
    </row>
    <row r="39" spans="1:12" s="203" customFormat="1" x14ac:dyDescent="0.2">
      <c r="A39" s="243">
        <f>IF(COUNTIF($B$35:B39,B39)=1,A38+1,A38)</f>
        <v>5</v>
      </c>
      <c r="B39" s="329" t="s">
        <v>229</v>
      </c>
      <c r="C39" s="244" t="str">
        <f t="shared" si="0"/>
        <v>sachet 92g</v>
      </c>
      <c r="D39" s="245">
        <f t="shared" si="3"/>
        <v>136</v>
      </c>
      <c r="E39" s="246" t="str">
        <f t="shared" si="1"/>
        <v/>
      </c>
      <c r="F39" s="37">
        <v>136</v>
      </c>
      <c r="G39" s="221" t="str">
        <f t="shared" ca="1" si="4"/>
        <v xml:space="preserve"> Ok input</v>
      </c>
      <c r="H39" s="36">
        <v>0.1</v>
      </c>
      <c r="I39" s="221" t="str">
        <f t="shared" ca="1" si="5"/>
        <v xml:space="preserve"> Ok input</v>
      </c>
      <c r="J39" s="247"/>
      <c r="K39" s="229" t="str">
        <f t="shared" si="2"/>
        <v>• The recommended Qty is sufficient for transition in inpatient care and for outpatient care</v>
      </c>
    </row>
    <row r="40" spans="1:12" s="203" customFormat="1" x14ac:dyDescent="0.2">
      <c r="A40" s="243">
        <f>IF(COUNTIF($B$35:B40,B40)=1,A39+1,A39)</f>
        <v>6</v>
      </c>
      <c r="B40" s="329" t="s">
        <v>35</v>
      </c>
      <c r="C40" s="244" t="str">
        <f t="shared" si="0"/>
        <v>Caps</v>
      </c>
      <c r="D40" s="245">
        <f t="shared" si="3"/>
        <v>1</v>
      </c>
      <c r="E40" s="246" t="str">
        <f t="shared" si="1"/>
        <v/>
      </c>
      <c r="F40" s="37">
        <v>1</v>
      </c>
      <c r="G40" s="221" t="str">
        <f t="shared" ca="1" si="4"/>
        <v xml:space="preserve"> Ok input</v>
      </c>
      <c r="H40" s="36">
        <v>0.1</v>
      </c>
      <c r="I40" s="221" t="str">
        <f t="shared" ca="1" si="5"/>
        <v xml:space="preserve"> Ok input</v>
      </c>
      <c r="J40" s="247"/>
      <c r="K40" s="229">
        <f t="shared" si="2"/>
        <v>0</v>
      </c>
    </row>
    <row r="41" spans="1:12" s="203" customFormat="1" x14ac:dyDescent="0.2">
      <c r="A41" s="243">
        <f>IF(COUNTIF($B$35:B41,B41)=1,A40+1,A40)</f>
        <v>7</v>
      </c>
      <c r="B41" s="329" t="s">
        <v>38</v>
      </c>
      <c r="C41" s="244" t="str">
        <f t="shared" si="0"/>
        <v>Caps</v>
      </c>
      <c r="D41" s="245">
        <f t="shared" si="3"/>
        <v>1</v>
      </c>
      <c r="E41" s="246" t="str">
        <f t="shared" si="1"/>
        <v/>
      </c>
      <c r="F41" s="37">
        <v>1</v>
      </c>
      <c r="G41" s="221" t="str">
        <f t="shared" ca="1" si="4"/>
        <v xml:space="preserve"> Ok input</v>
      </c>
      <c r="H41" s="36">
        <v>0.1</v>
      </c>
      <c r="I41" s="221" t="str">
        <f t="shared" ca="1" si="5"/>
        <v xml:space="preserve"> Ok input</v>
      </c>
      <c r="J41" s="247"/>
      <c r="K41" s="229">
        <f t="shared" si="2"/>
        <v>0</v>
      </c>
    </row>
    <row r="42" spans="1:12" s="203" customFormat="1" x14ac:dyDescent="0.2">
      <c r="A42" s="243">
        <f>IF(COUNTIF($B$35:B42,B42)=1,A41+1,A41)</f>
        <v>8</v>
      </c>
      <c r="B42" s="329" t="s">
        <v>44</v>
      </c>
      <c r="C42" s="244" t="str">
        <f t="shared" si="0"/>
        <v>Bar 56.8g</v>
      </c>
      <c r="D42" s="245">
        <f t="shared" si="3"/>
        <v>280</v>
      </c>
      <c r="E42" s="246" t="str">
        <f t="shared" si="1"/>
        <v/>
      </c>
      <c r="F42" s="37">
        <v>280</v>
      </c>
      <c r="G42" s="221" t="str">
        <f t="shared" ca="1" si="4"/>
        <v xml:space="preserve"> Ok input</v>
      </c>
      <c r="H42" s="36">
        <v>0.1</v>
      </c>
      <c r="I42" s="221" t="str">
        <f t="shared" ca="1" si="5"/>
        <v xml:space="preserve"> Ok input</v>
      </c>
      <c r="K42" s="229" t="str">
        <f t="shared" si="2"/>
        <v>• If you use BP100, decrease the Qty of F100 and Therapeutic Spread accordingly, or remove them from the list</v>
      </c>
    </row>
    <row r="43" spans="1:12" x14ac:dyDescent="0.2">
      <c r="A43" s="243">
        <f>IF(COUNTIF($B$35:B43,B43)=1,A42+1,A42)</f>
        <v>9</v>
      </c>
      <c r="B43" s="329" t="s">
        <v>39</v>
      </c>
      <c r="C43" s="244" t="str">
        <f t="shared" si="0"/>
        <v>Tab</v>
      </c>
      <c r="D43" s="245">
        <f t="shared" si="3"/>
        <v>1</v>
      </c>
      <c r="E43" s="246" t="str">
        <f t="shared" si="1"/>
        <v/>
      </c>
      <c r="F43" s="37">
        <v>1</v>
      </c>
      <c r="G43" s="221" t="str">
        <f t="shared" ca="1" si="4"/>
        <v xml:space="preserve"> Ok input</v>
      </c>
      <c r="H43" s="36">
        <v>0.1</v>
      </c>
      <c r="I43" s="221" t="str">
        <f t="shared" ca="1" si="5"/>
        <v xml:space="preserve"> Ok input</v>
      </c>
      <c r="K43" s="229" t="str">
        <f t="shared" si="2"/>
        <v>• For Anti Helminth requirements select either Mebendazole or Albendazole (not both)</v>
      </c>
    </row>
    <row r="44" spans="1:12" x14ac:dyDescent="0.2">
      <c r="A44" s="243">
        <f>IF(COUNTIF($B$35:B44,B44)=1,A43+1,A43)</f>
        <v>9</v>
      </c>
      <c r="B44" s="329"/>
      <c r="C44" s="244" t="str">
        <f t="shared" si="0"/>
        <v/>
      </c>
      <c r="D44" s="245" t="str">
        <f t="shared" si="3"/>
        <v/>
      </c>
      <c r="E44" s="246" t="str">
        <f t="shared" si="1"/>
        <v/>
      </c>
      <c r="F44" s="37"/>
      <c r="G44" s="221" t="str">
        <f t="shared" ca="1" si="4"/>
        <v/>
      </c>
      <c r="H44" s="36"/>
      <c r="I44" s="221" t="str">
        <f t="shared" ca="1" si="5"/>
        <v/>
      </c>
      <c r="K44" s="229" t="str">
        <f t="shared" si="2"/>
        <v/>
      </c>
    </row>
    <row r="45" spans="1:12" x14ac:dyDescent="0.2">
      <c r="A45" s="243">
        <f>IF(COUNTIF($B$35:B45,B45)=1,A44+1,A44)</f>
        <v>9</v>
      </c>
      <c r="B45" s="329"/>
      <c r="C45" s="244" t="str">
        <f t="shared" si="0"/>
        <v/>
      </c>
      <c r="D45" s="245" t="str">
        <f t="shared" si="3"/>
        <v/>
      </c>
      <c r="E45" s="246" t="str">
        <f t="shared" si="1"/>
        <v/>
      </c>
      <c r="F45" s="37"/>
      <c r="G45" s="221" t="str">
        <f t="shared" ca="1" si="4"/>
        <v/>
      </c>
      <c r="H45" s="36"/>
      <c r="I45" s="221" t="str">
        <f t="shared" ca="1" si="5"/>
        <v/>
      </c>
      <c r="K45" s="229" t="str">
        <f t="shared" si="2"/>
        <v/>
      </c>
    </row>
    <row r="46" spans="1:12" x14ac:dyDescent="0.2">
      <c r="A46" s="243">
        <f>IF(COUNTIF($B$35:B46,B46)=1,A45+1,A45)</f>
        <v>9</v>
      </c>
      <c r="B46" s="329"/>
      <c r="C46" s="244" t="str">
        <f t="shared" si="0"/>
        <v/>
      </c>
      <c r="D46" s="245" t="str">
        <f t="shared" si="3"/>
        <v/>
      </c>
      <c r="E46" s="246" t="str">
        <f t="shared" si="1"/>
        <v/>
      </c>
      <c r="F46" s="37"/>
      <c r="G46" s="221" t="str">
        <f t="shared" ca="1" si="4"/>
        <v/>
      </c>
      <c r="H46" s="36"/>
      <c r="I46" s="221" t="str">
        <f t="shared" ca="1" si="5"/>
        <v/>
      </c>
      <c r="K46" s="229" t="str">
        <f t="shared" si="2"/>
        <v/>
      </c>
    </row>
    <row r="47" spans="1:12" x14ac:dyDescent="0.2">
      <c r="A47" s="243">
        <f>IF(COUNTIF($B$35:B47,B47)=1,A46+1,A46)</f>
        <v>9</v>
      </c>
      <c r="B47" s="329"/>
      <c r="C47" s="244" t="str">
        <f t="shared" si="0"/>
        <v/>
      </c>
      <c r="D47" s="245" t="str">
        <f t="shared" si="3"/>
        <v/>
      </c>
      <c r="E47" s="246" t="str">
        <f t="shared" si="1"/>
        <v/>
      </c>
      <c r="F47" s="37"/>
      <c r="G47" s="221" t="str">
        <f t="shared" ca="1" si="4"/>
        <v/>
      </c>
      <c r="H47" s="36"/>
      <c r="I47" s="221" t="str">
        <f t="shared" ca="1" si="5"/>
        <v/>
      </c>
      <c r="K47" s="229" t="str">
        <f t="shared" si="2"/>
        <v/>
      </c>
    </row>
    <row r="48" spans="1:12" x14ac:dyDescent="0.2">
      <c r="A48" s="243">
        <f>IF(COUNTIF($B$35:B48,B48)=1,A47+1,A47)</f>
        <v>9</v>
      </c>
      <c r="B48" s="329"/>
      <c r="C48" s="244" t="str">
        <f t="shared" si="0"/>
        <v/>
      </c>
      <c r="D48" s="245" t="str">
        <f t="shared" si="3"/>
        <v/>
      </c>
      <c r="E48" s="246" t="str">
        <f t="shared" si="1"/>
        <v/>
      </c>
      <c r="F48" s="37"/>
      <c r="G48" s="221" t="str">
        <f t="shared" ca="1" si="4"/>
        <v/>
      </c>
      <c r="H48" s="36"/>
      <c r="I48" s="221" t="str">
        <f t="shared" ca="1" si="5"/>
        <v/>
      </c>
      <c r="K48" s="229" t="str">
        <f t="shared" si="2"/>
        <v/>
      </c>
    </row>
    <row r="49" spans="1:12" x14ac:dyDescent="0.2">
      <c r="A49" s="243">
        <f>IF(COUNTIF($B$35:B49,B49)=1,A48+1,A48)</f>
        <v>9</v>
      </c>
      <c r="B49" s="329"/>
      <c r="C49" s="244" t="str">
        <f t="shared" si="0"/>
        <v/>
      </c>
      <c r="D49" s="245" t="str">
        <f t="shared" si="3"/>
        <v/>
      </c>
      <c r="E49" s="246" t="str">
        <f t="shared" si="1"/>
        <v/>
      </c>
      <c r="F49" s="37"/>
      <c r="G49" s="221" t="str">
        <f ca="1">IF(ISBLANK(B49),"",(IF(ISBLANK(F49)," Input "&amp;CELL("address",F49)," Ok input")))</f>
        <v/>
      </c>
      <c r="H49" s="36"/>
      <c r="I49" s="221" t="str">
        <f t="shared" ca="1" si="5"/>
        <v/>
      </c>
      <c r="K49" s="229" t="str">
        <f t="shared" si="2"/>
        <v/>
      </c>
    </row>
    <row r="50" spans="1:12" x14ac:dyDescent="0.2">
      <c r="A50" s="248"/>
      <c r="H50" s="249"/>
      <c r="K50" s="229"/>
    </row>
    <row r="51" spans="1:12" s="203" customFormat="1" ht="21" customHeight="1" thickBot="1" x14ac:dyDescent="0.3">
      <c r="A51" s="250"/>
      <c r="B51" s="237" t="s">
        <v>320</v>
      </c>
      <c r="C51" s="237"/>
      <c r="D51" s="237"/>
      <c r="E51" s="237"/>
      <c r="F51" s="237"/>
      <c r="G51" s="237"/>
      <c r="H51" s="237"/>
      <c r="I51" s="237"/>
      <c r="J51" s="237"/>
      <c r="K51" s="229"/>
      <c r="L51" s="237"/>
    </row>
    <row r="52" spans="1:12" s="203" customFormat="1" ht="21" customHeight="1" x14ac:dyDescent="0.2">
      <c r="A52" s="250"/>
      <c r="B52" s="238" t="s">
        <v>90</v>
      </c>
      <c r="C52" s="239" t="s">
        <v>24</v>
      </c>
      <c r="D52" s="408" t="s">
        <v>93</v>
      </c>
      <c r="E52" s="408"/>
      <c r="F52" s="408" t="s">
        <v>262</v>
      </c>
      <c r="G52" s="408"/>
      <c r="H52" s="240" t="s">
        <v>91</v>
      </c>
      <c r="I52" s="241"/>
      <c r="J52" s="242"/>
      <c r="K52" s="229"/>
    </row>
    <row r="53" spans="1:12" s="203" customFormat="1" x14ac:dyDescent="0.2">
      <c r="A53" s="243">
        <f>IF(COUNTIF($B$35:B53,B53)=1,A49+1,A49)</f>
        <v>9</v>
      </c>
      <c r="B53" s="329" t="s">
        <v>229</v>
      </c>
      <c r="C53" s="244" t="str">
        <f t="shared" ref="C53:C62" si="6">IF(B53="","",INDEX(products_all,MATCH(B53,products_dd,0),3))</f>
        <v>sachet 92g</v>
      </c>
      <c r="D53" s="245">
        <f t="shared" ref="D53:D62" si="7">IF(B53="","",INDEX(products_all,MATCH(B53,products_dd,0),4))</f>
        <v>136</v>
      </c>
      <c r="E53" s="246" t="str">
        <f t="shared" ref="E53:E62" si="8">IF(F53&gt;D53,"More :",IF(F53&lt;D53,"Less :",""))</f>
        <v/>
      </c>
      <c r="F53" s="37">
        <v>136</v>
      </c>
      <c r="G53" s="221" t="str">
        <f ca="1">IF(ISBLANK(B53),"",IF(ISBLANK(F53)," Input "&amp;CELL("address",F53)," Ok input"))</f>
        <v xml:space="preserve"> Ok input</v>
      </c>
      <c r="H53" s="36">
        <v>0.1</v>
      </c>
      <c r="I53" s="221" t="str">
        <f ca="1">IF(ISBLANK(B53),"",IF(ISBLANK(H53)," Input cell "&amp;CELL("address",H53),IF(OR(H53&lt;0, H53&gt;0.2)," Input value between 0 - 20% in cell "&amp;CELL("address",H53)," Ok input")))</f>
        <v xml:space="preserve"> Ok input</v>
      </c>
      <c r="J53" s="251"/>
      <c r="K53" s="371" t="str">
        <f t="shared" ref="K53:K62" si="9">IF(B53="","",INDEX(products_all,MATCH(B53,products_dd,0),11))</f>
        <v>• The recommended Qty is sufficient for transition in inpatient care and for outpatient care</v>
      </c>
    </row>
    <row r="54" spans="1:12" s="203" customFormat="1" x14ac:dyDescent="0.2">
      <c r="A54" s="243">
        <f>IF(COUNTIF($B$35:B54,B54)=1,A53+1,A53)</f>
        <v>9</v>
      </c>
      <c r="B54" s="329" t="s">
        <v>35</v>
      </c>
      <c r="C54" s="244" t="str">
        <f t="shared" si="6"/>
        <v>Caps</v>
      </c>
      <c r="D54" s="245">
        <f t="shared" si="7"/>
        <v>1</v>
      </c>
      <c r="E54" s="246" t="str">
        <f t="shared" si="8"/>
        <v/>
      </c>
      <c r="F54" s="37">
        <v>1</v>
      </c>
      <c r="G54" s="221" t="str">
        <f t="shared" ref="G54:G62" ca="1" si="10">IF(ISBLANK(B54),"",IF(ISBLANK(F54)," Input "&amp;CELL("address",F54)," Ok input"))</f>
        <v xml:space="preserve"> Ok input</v>
      </c>
      <c r="H54" s="36">
        <v>0.1</v>
      </c>
      <c r="I54" s="221" t="str">
        <f t="shared" ref="I54:I62" ca="1" si="11">IF(ISBLANK(B54),"",IF(ISBLANK(H54)," Input cell "&amp;CELL("address",H54),IF(OR(H54&lt;0, H54&gt;0.2)," Input value between 0 - 20% in cell "&amp;CELL("address",H54)," Ok input")))</f>
        <v xml:space="preserve"> Ok input</v>
      </c>
      <c r="J54" s="221"/>
      <c r="K54" s="229">
        <f t="shared" si="9"/>
        <v>0</v>
      </c>
    </row>
    <row r="55" spans="1:12" s="203" customFormat="1" x14ac:dyDescent="0.2">
      <c r="A55" s="243">
        <f>IF(COUNTIF($B$35:B55,B55)=1,A54+1,A54)</f>
        <v>9</v>
      </c>
      <c r="B55" s="329" t="s">
        <v>38</v>
      </c>
      <c r="C55" s="244" t="str">
        <f t="shared" si="6"/>
        <v>Caps</v>
      </c>
      <c r="D55" s="245">
        <f t="shared" si="7"/>
        <v>1</v>
      </c>
      <c r="E55" s="246" t="str">
        <f t="shared" si="8"/>
        <v/>
      </c>
      <c r="F55" s="37">
        <v>1</v>
      </c>
      <c r="G55" s="221" t="str">
        <f t="shared" ca="1" si="10"/>
        <v xml:space="preserve"> Ok input</v>
      </c>
      <c r="H55" s="36">
        <v>0.1</v>
      </c>
      <c r="I55" s="221" t="str">
        <f t="shared" ca="1" si="11"/>
        <v xml:space="preserve"> Ok input</v>
      </c>
      <c r="J55" s="221"/>
      <c r="K55" s="229">
        <f t="shared" si="9"/>
        <v>0</v>
      </c>
    </row>
    <row r="56" spans="1:12" s="203" customFormat="1" x14ac:dyDescent="0.2">
      <c r="A56" s="243">
        <f>IF(COUNTIF($B$35:B56,B56)=1,A55+1,A55)</f>
        <v>10</v>
      </c>
      <c r="B56" s="329" t="s">
        <v>41</v>
      </c>
      <c r="C56" s="244" t="str">
        <f t="shared" si="6"/>
        <v>Bottle</v>
      </c>
      <c r="D56" s="245">
        <f t="shared" si="7"/>
        <v>1</v>
      </c>
      <c r="E56" s="246" t="str">
        <f t="shared" si="8"/>
        <v/>
      </c>
      <c r="F56" s="37">
        <v>1</v>
      </c>
      <c r="G56" s="221" t="str">
        <f t="shared" ca="1" si="10"/>
        <v xml:space="preserve"> Ok input</v>
      </c>
      <c r="H56" s="36">
        <v>0.1</v>
      </c>
      <c r="I56" s="221" t="str">
        <f t="shared" ca="1" si="11"/>
        <v xml:space="preserve"> Ok input</v>
      </c>
      <c r="J56" s="221"/>
      <c r="K56" s="229">
        <f t="shared" si="9"/>
        <v>0</v>
      </c>
    </row>
    <row r="57" spans="1:12" s="203" customFormat="1" x14ac:dyDescent="0.2">
      <c r="A57" s="243">
        <f>IF(COUNTIF($B$35:B57,B57)=1,A56+1,A56)</f>
        <v>10</v>
      </c>
      <c r="B57" s="329" t="s">
        <v>39</v>
      </c>
      <c r="C57" s="244" t="str">
        <f t="shared" si="6"/>
        <v>Tab</v>
      </c>
      <c r="D57" s="245">
        <f t="shared" si="7"/>
        <v>1</v>
      </c>
      <c r="E57" s="246" t="str">
        <f t="shared" si="8"/>
        <v/>
      </c>
      <c r="F57" s="37">
        <v>1</v>
      </c>
      <c r="G57" s="221" t="str">
        <f t="shared" ca="1" si="10"/>
        <v xml:space="preserve"> Ok input</v>
      </c>
      <c r="H57" s="36">
        <v>0.1</v>
      </c>
      <c r="I57" s="221" t="str">
        <f t="shared" ca="1" si="11"/>
        <v xml:space="preserve"> Ok input</v>
      </c>
      <c r="J57" s="221"/>
      <c r="K57" s="229" t="str">
        <f t="shared" si="9"/>
        <v>• For Anti Helminth requirements select either Mebendazole or Albendazole (not both)</v>
      </c>
    </row>
    <row r="58" spans="1:12" s="203" customFormat="1" x14ac:dyDescent="0.2">
      <c r="A58" s="243">
        <f>IF(COUNTIF($B$35:B58,B58)=1,A57+1,A57)</f>
        <v>10</v>
      </c>
      <c r="B58" s="329"/>
      <c r="C58" s="244" t="str">
        <f t="shared" si="6"/>
        <v/>
      </c>
      <c r="D58" s="245" t="str">
        <f t="shared" si="7"/>
        <v/>
      </c>
      <c r="E58" s="246" t="str">
        <f t="shared" si="8"/>
        <v/>
      </c>
      <c r="F58" s="37"/>
      <c r="G58" s="221" t="str">
        <f t="shared" ca="1" si="10"/>
        <v/>
      </c>
      <c r="H58" s="36"/>
      <c r="I58" s="221" t="str">
        <f t="shared" ca="1" si="11"/>
        <v/>
      </c>
      <c r="J58" s="221"/>
      <c r="K58" s="229" t="str">
        <f t="shared" si="9"/>
        <v/>
      </c>
    </row>
    <row r="59" spans="1:12" s="203" customFormat="1" x14ac:dyDescent="0.2">
      <c r="A59" s="243">
        <f>IF(COUNTIF($B$35:B59,B59)=1,A58+1,A58)</f>
        <v>10</v>
      </c>
      <c r="B59" s="329"/>
      <c r="C59" s="244" t="str">
        <f t="shared" si="6"/>
        <v/>
      </c>
      <c r="D59" s="245" t="str">
        <f t="shared" si="7"/>
        <v/>
      </c>
      <c r="E59" s="246" t="str">
        <f t="shared" si="8"/>
        <v/>
      </c>
      <c r="F59" s="37"/>
      <c r="G59" s="221" t="str">
        <f t="shared" ca="1" si="10"/>
        <v/>
      </c>
      <c r="H59" s="36"/>
      <c r="I59" s="221" t="str">
        <f t="shared" ca="1" si="11"/>
        <v/>
      </c>
      <c r="J59" s="221"/>
      <c r="K59" s="229" t="str">
        <f t="shared" si="9"/>
        <v/>
      </c>
    </row>
    <row r="60" spans="1:12" s="203" customFormat="1" x14ac:dyDescent="0.2">
      <c r="A60" s="243">
        <f>IF(COUNTIF($B$35:B60,B60)=1,A59+1,A59)</f>
        <v>10</v>
      </c>
      <c r="B60" s="329"/>
      <c r="C60" s="244" t="str">
        <f t="shared" si="6"/>
        <v/>
      </c>
      <c r="D60" s="245" t="str">
        <f t="shared" si="7"/>
        <v/>
      </c>
      <c r="E60" s="246" t="str">
        <f t="shared" si="8"/>
        <v/>
      </c>
      <c r="F60" s="37"/>
      <c r="G60" s="221" t="str">
        <f t="shared" ca="1" si="10"/>
        <v/>
      </c>
      <c r="H60" s="36"/>
      <c r="I60" s="221" t="str">
        <f t="shared" ca="1" si="11"/>
        <v/>
      </c>
      <c r="J60" s="221"/>
      <c r="K60" s="229" t="str">
        <f t="shared" si="9"/>
        <v/>
      </c>
    </row>
    <row r="61" spans="1:12" x14ac:dyDescent="0.2">
      <c r="A61" s="243">
        <f>IF(COUNTIF($B$35:B61,B61)=1,A60+1,A60)</f>
        <v>10</v>
      </c>
      <c r="B61" s="329"/>
      <c r="C61" s="244" t="str">
        <f t="shared" si="6"/>
        <v/>
      </c>
      <c r="D61" s="245" t="str">
        <f t="shared" si="7"/>
        <v/>
      </c>
      <c r="E61" s="246" t="str">
        <f t="shared" si="8"/>
        <v/>
      </c>
      <c r="F61" s="37"/>
      <c r="G61" s="221" t="str">
        <f t="shared" ca="1" si="10"/>
        <v/>
      </c>
      <c r="H61" s="36"/>
      <c r="I61" s="221" t="str">
        <f t="shared" ca="1" si="11"/>
        <v/>
      </c>
      <c r="J61" s="221"/>
      <c r="K61" s="229" t="str">
        <f t="shared" si="9"/>
        <v/>
      </c>
    </row>
    <row r="62" spans="1:12" x14ac:dyDescent="0.2">
      <c r="A62" s="243">
        <f>IF(COUNTIF($B$35:B62,B62)=1,A61+1,A61)</f>
        <v>10</v>
      </c>
      <c r="B62" s="329"/>
      <c r="C62" s="244" t="str">
        <f t="shared" si="6"/>
        <v/>
      </c>
      <c r="D62" s="245" t="str">
        <f t="shared" si="7"/>
        <v/>
      </c>
      <c r="E62" s="246" t="str">
        <f t="shared" si="8"/>
        <v/>
      </c>
      <c r="F62" s="37"/>
      <c r="G62" s="221" t="str">
        <f t="shared" ca="1" si="10"/>
        <v/>
      </c>
      <c r="H62" s="36"/>
      <c r="I62" s="221" t="str">
        <f t="shared" ca="1" si="11"/>
        <v/>
      </c>
      <c r="J62" s="221"/>
      <c r="K62" s="229" t="str">
        <f t="shared" si="9"/>
        <v/>
      </c>
    </row>
    <row r="63" spans="1:12" x14ac:dyDescent="0.2">
      <c r="H63" s="252">
        <f ca="1">AVERAGE((OFFSET(H35,0,0,COUNTA(H35:H49),1)),(OFFSET(H53,0,0,COUNTA(H53:H62),1)))</f>
        <v>0.1</v>
      </c>
      <c r="I63" s="253" t="s">
        <v>106</v>
      </c>
    </row>
    <row r="65" spans="1:16" s="203" customFormat="1" ht="15" x14ac:dyDescent="0.2">
      <c r="A65" s="212" t="s">
        <v>102</v>
      </c>
      <c r="B65" s="254"/>
      <c r="C65" s="255"/>
      <c r="D65" s="254"/>
      <c r="E65" s="217"/>
      <c r="F65" s="217"/>
      <c r="G65" s="217"/>
      <c r="H65" s="217"/>
      <c r="I65" s="217"/>
      <c r="J65" s="217"/>
      <c r="K65" s="217"/>
      <c r="L65" s="217"/>
      <c r="M65" s="217"/>
      <c r="N65" s="217"/>
      <c r="O65" s="217"/>
    </row>
    <row r="66" spans="1:16" s="203" customFormat="1" ht="12.75" customHeight="1" x14ac:dyDescent="0.2">
      <c r="A66" s="212"/>
      <c r="B66" s="229" t="s">
        <v>95</v>
      </c>
      <c r="C66" s="255"/>
      <c r="D66" s="254"/>
      <c r="E66" s="217"/>
      <c r="F66" s="217"/>
      <c r="G66" s="217"/>
      <c r="H66" s="217"/>
      <c r="I66" s="217"/>
      <c r="J66" s="217"/>
      <c r="K66" s="217"/>
      <c r="L66" s="217"/>
      <c r="M66" s="217"/>
      <c r="N66" s="217"/>
      <c r="O66" s="217"/>
    </row>
    <row r="67" spans="1:16" s="203" customFormat="1" x14ac:dyDescent="0.2">
      <c r="A67" s="204"/>
      <c r="B67" s="256" t="s">
        <v>96</v>
      </c>
      <c r="C67" s="255"/>
      <c r="D67" s="254"/>
      <c r="E67" s="217"/>
      <c r="F67" s="217"/>
      <c r="G67" s="217"/>
      <c r="H67" s="217"/>
      <c r="I67" s="217"/>
      <c r="J67" s="217"/>
      <c r="K67" s="217"/>
      <c r="L67" s="217"/>
      <c r="M67" s="217"/>
      <c r="N67" s="217"/>
      <c r="O67" s="217"/>
      <c r="P67" s="205"/>
    </row>
    <row r="68" spans="1:16" s="203" customFormat="1" ht="12.75" customHeight="1" thickBot="1" x14ac:dyDescent="0.25">
      <c r="A68" s="257"/>
      <c r="C68" s="255"/>
      <c r="D68" s="254"/>
      <c r="E68" s="217"/>
      <c r="F68" s="217"/>
      <c r="G68" s="217"/>
      <c r="H68" s="217"/>
      <c r="I68" s="217"/>
      <c r="J68" s="217"/>
      <c r="K68" s="217"/>
      <c r="L68" s="217"/>
      <c r="M68" s="217"/>
      <c r="N68" s="217"/>
      <c r="O68" s="217"/>
      <c r="P68" s="205"/>
    </row>
    <row r="69" spans="1:16" s="258" customFormat="1" x14ac:dyDescent="0.2">
      <c r="B69" s="259" t="s">
        <v>97</v>
      </c>
      <c r="C69" s="260" t="str">
        <f ca="1">VLOOKUP('Date Function'!$D$3,Date_Table,2,FALSE) &amp; " " &amp; VLOOKUP('Date Function'!$D$3,Date_Table,3,FALSE)</f>
        <v>Jan 2012</v>
      </c>
      <c r="D69" s="260" t="str">
        <f ca="1">VLOOKUP('Date Function'!$D$3+1,Date_Table,2,FALSE) &amp; " " &amp; VLOOKUP('Date Function'!$D$3+1,Date_Table,3,FALSE)</f>
        <v>Feb 2012</v>
      </c>
      <c r="E69" s="260" t="str">
        <f ca="1">VLOOKUP('Date Function'!$D$3+2,Date_Table,2,FALSE) &amp; " " &amp; VLOOKUP('Date Function'!$D$3+2,Date_Table,3,FALSE)</f>
        <v>Mar 2012</v>
      </c>
      <c r="F69" s="260" t="str">
        <f ca="1">VLOOKUP('Date Function'!$D$3+3,Date_Table,2,FALSE) &amp; " " &amp; VLOOKUP('Date Function'!$D$3+3,Date_Table,3,FALSE)</f>
        <v>Apr 2012</v>
      </c>
      <c r="G69" s="260" t="str">
        <f ca="1">VLOOKUP('Date Function'!$D$3+4,Date_Table,2,FALSE) &amp; " " &amp; VLOOKUP('Date Function'!$D$3+4,Date_Table,3,FALSE)</f>
        <v>May 2012</v>
      </c>
      <c r="H69" s="260" t="str">
        <f ca="1">VLOOKUP('Date Function'!$D$3+5,Date_Table,2,FALSE) &amp; " " &amp; VLOOKUP('Date Function'!$D$3+5,Date_Table,3,FALSE)</f>
        <v>Jun 2012</v>
      </c>
      <c r="I69" s="260" t="str">
        <f ca="1">VLOOKUP('Date Function'!$D$3+6,Date_Table,2,FALSE) &amp; " " &amp; VLOOKUP('Date Function'!$D$3+6,Date_Table,3,FALSE)</f>
        <v>Jul 2012</v>
      </c>
      <c r="J69" s="260" t="str">
        <f ca="1">VLOOKUP('Date Function'!$D$3+7,Date_Table,2,FALSE) &amp; " " &amp; VLOOKUP('Date Function'!$D$3+7,Date_Table,3,FALSE)</f>
        <v>Aug 2012</v>
      </c>
      <c r="K69" s="260" t="str">
        <f ca="1">VLOOKUP('Date Function'!$D$3+8,Date_Table,2,FALSE) &amp; " " &amp; VLOOKUP('Date Function'!$D$3+8,Date_Table,3,FALSE)</f>
        <v>Sep 2012</v>
      </c>
      <c r="L69" s="260" t="str">
        <f ca="1">VLOOKUP('Date Function'!$D$3+9,Date_Table,2,FALSE) &amp; " " &amp; VLOOKUP('Date Function'!$D$3+9,Date_Table,3,FALSE)</f>
        <v>Oct 2012</v>
      </c>
      <c r="M69" s="260" t="str">
        <f ca="1">VLOOKUP('Date Function'!$D$3+10,Date_Table,2,FALSE) &amp; " " &amp; VLOOKUP('Date Function'!$D$3+10,Date_Table,3,FALSE)</f>
        <v>Nov 2012</v>
      </c>
      <c r="N69" s="260" t="str">
        <f ca="1">VLOOKUP('Date Function'!$D$3+11,Date_Table,2,FALSE) &amp; " " &amp; VLOOKUP('Date Function'!$D$3+11,Date_Table,3,FALSE)</f>
        <v>Dec 2012</v>
      </c>
      <c r="O69" s="261" t="s">
        <v>98</v>
      </c>
      <c r="P69" s="205"/>
    </row>
    <row r="70" spans="1:16" x14ac:dyDescent="0.2">
      <c r="B70" s="262" t="s">
        <v>133</v>
      </c>
      <c r="C70" s="220"/>
      <c r="D70" s="220"/>
      <c r="E70" s="220"/>
      <c r="F70" s="220"/>
      <c r="G70" s="220"/>
      <c r="H70" s="220"/>
      <c r="I70" s="220"/>
      <c r="J70" s="220"/>
      <c r="K70" s="220"/>
      <c r="L70" s="220"/>
      <c r="M70" s="220"/>
      <c r="N70" s="220"/>
      <c r="O70" s="263"/>
    </row>
    <row r="71" spans="1:16" x14ac:dyDescent="0.2">
      <c r="B71" s="387" t="s">
        <v>368</v>
      </c>
      <c r="C71" s="39"/>
      <c r="D71" s="39"/>
      <c r="E71" s="39"/>
      <c r="F71" s="39"/>
      <c r="G71" s="39"/>
      <c r="H71" s="39"/>
      <c r="I71" s="39"/>
      <c r="J71" s="39"/>
      <c r="K71" s="39"/>
      <c r="L71" s="39"/>
      <c r="M71" s="39"/>
      <c r="N71" s="39"/>
      <c r="O71" s="264">
        <f>SUM(C71:N71)</f>
        <v>0</v>
      </c>
    </row>
    <row r="72" spans="1:16" x14ac:dyDescent="0.2">
      <c r="B72" s="387" t="s">
        <v>369</v>
      </c>
      <c r="C72" s="39"/>
      <c r="D72" s="39"/>
      <c r="E72" s="39"/>
      <c r="F72" s="39"/>
      <c r="G72" s="39"/>
      <c r="H72" s="39"/>
      <c r="I72" s="39"/>
      <c r="J72" s="39"/>
      <c r="K72" s="39"/>
      <c r="L72" s="39"/>
      <c r="M72" s="39"/>
      <c r="N72" s="39"/>
      <c r="O72" s="265">
        <f>SUM(C72:N72)</f>
        <v>0</v>
      </c>
    </row>
    <row r="73" spans="1:16" x14ac:dyDescent="0.2">
      <c r="B73" s="386" t="s">
        <v>364</v>
      </c>
      <c r="C73" s="330"/>
      <c r="D73" s="330"/>
      <c r="E73" s="330"/>
      <c r="F73" s="330"/>
      <c r="G73" s="330"/>
      <c r="H73" s="330"/>
      <c r="I73" s="330"/>
      <c r="J73" s="330"/>
      <c r="K73" s="330"/>
      <c r="L73" s="330"/>
      <c r="M73" s="330"/>
      <c r="N73" s="330"/>
      <c r="O73" s="263"/>
    </row>
    <row r="74" spans="1:16" x14ac:dyDescent="0.2">
      <c r="B74" s="386" t="s">
        <v>365</v>
      </c>
      <c r="C74" s="330"/>
      <c r="D74" s="330"/>
      <c r="E74" s="330"/>
      <c r="F74" s="330"/>
      <c r="G74" s="330"/>
      <c r="H74" s="330"/>
      <c r="I74" s="330"/>
      <c r="J74" s="330"/>
      <c r="K74" s="330"/>
      <c r="L74" s="330"/>
      <c r="M74" s="330"/>
      <c r="N74" s="330"/>
      <c r="O74" s="263"/>
    </row>
    <row r="75" spans="1:16" x14ac:dyDescent="0.2">
      <c r="B75" s="262" t="s">
        <v>103</v>
      </c>
      <c r="C75" s="220"/>
      <c r="D75" s="220"/>
      <c r="E75" s="220"/>
      <c r="F75" s="220"/>
      <c r="G75" s="220"/>
      <c r="H75" s="220"/>
      <c r="I75" s="220"/>
      <c r="J75" s="220"/>
      <c r="K75" s="220"/>
      <c r="L75" s="220"/>
      <c r="M75" s="220"/>
      <c r="N75" s="220"/>
      <c r="O75" s="263"/>
    </row>
    <row r="76" spans="1:16" s="203" customFormat="1" x14ac:dyDescent="0.2">
      <c r="B76" s="387" t="s">
        <v>368</v>
      </c>
      <c r="C76" s="39"/>
      <c r="D76" s="39"/>
      <c r="E76" s="39"/>
      <c r="F76" s="39"/>
      <c r="G76" s="39"/>
      <c r="H76" s="39"/>
      <c r="I76" s="39"/>
      <c r="J76" s="39"/>
      <c r="K76" s="39"/>
      <c r="L76" s="39"/>
      <c r="M76" s="39"/>
      <c r="N76" s="39"/>
      <c r="O76" s="264">
        <f>SUM(C76:N76)</f>
        <v>0</v>
      </c>
      <c r="P76" s="205"/>
    </row>
    <row r="77" spans="1:16" s="203" customFormat="1" x14ac:dyDescent="0.2">
      <c r="B77" s="387" t="s">
        <v>369</v>
      </c>
      <c r="C77" s="39"/>
      <c r="D77" s="39"/>
      <c r="E77" s="39"/>
      <c r="F77" s="39"/>
      <c r="G77" s="39"/>
      <c r="H77" s="39"/>
      <c r="I77" s="39"/>
      <c r="J77" s="39"/>
      <c r="K77" s="39"/>
      <c r="L77" s="39"/>
      <c r="M77" s="39"/>
      <c r="N77" s="39"/>
      <c r="O77" s="265">
        <f>SUM(C77:N77)</f>
        <v>0</v>
      </c>
      <c r="P77" s="205"/>
    </row>
    <row r="78" spans="1:16" x14ac:dyDescent="0.2">
      <c r="B78" s="386" t="s">
        <v>364</v>
      </c>
      <c r="C78" s="330"/>
      <c r="D78" s="330"/>
      <c r="E78" s="330"/>
      <c r="F78" s="330"/>
      <c r="G78" s="330"/>
      <c r="H78" s="330"/>
      <c r="I78" s="330"/>
      <c r="J78" s="330"/>
      <c r="K78" s="330"/>
      <c r="L78" s="330"/>
      <c r="M78" s="330"/>
      <c r="N78" s="330"/>
      <c r="O78" s="263"/>
    </row>
    <row r="79" spans="1:16" x14ac:dyDescent="0.2">
      <c r="B79" s="386" t="s">
        <v>365</v>
      </c>
      <c r="C79" s="330"/>
      <c r="D79" s="330"/>
      <c r="E79" s="330"/>
      <c r="F79" s="330"/>
      <c r="G79" s="330"/>
      <c r="H79" s="330"/>
      <c r="I79" s="330"/>
      <c r="J79" s="330"/>
      <c r="K79" s="330"/>
      <c r="L79" s="330"/>
      <c r="M79" s="330"/>
      <c r="N79" s="330"/>
      <c r="O79" s="263"/>
    </row>
    <row r="80" spans="1:16" s="203" customFormat="1" ht="18.75" customHeight="1" thickBot="1" x14ac:dyDescent="0.25">
      <c r="B80" s="266" t="s">
        <v>104</v>
      </c>
      <c r="C80" s="267">
        <f>SUM(C71,C72,C76,C77)</f>
        <v>0</v>
      </c>
      <c r="D80" s="267">
        <f t="shared" ref="D80:N80" si="12">SUM(D71,D72,D76,D77)</f>
        <v>0</v>
      </c>
      <c r="E80" s="267">
        <f t="shared" si="12"/>
        <v>0</v>
      </c>
      <c r="F80" s="267">
        <f t="shared" si="12"/>
        <v>0</v>
      </c>
      <c r="G80" s="267">
        <f t="shared" si="12"/>
        <v>0</v>
      </c>
      <c r="H80" s="267">
        <f t="shared" si="12"/>
        <v>0</v>
      </c>
      <c r="I80" s="267">
        <f t="shared" si="12"/>
        <v>0</v>
      </c>
      <c r="J80" s="267">
        <f t="shared" si="12"/>
        <v>0</v>
      </c>
      <c r="K80" s="267">
        <f t="shared" si="12"/>
        <v>0</v>
      </c>
      <c r="L80" s="267">
        <f t="shared" si="12"/>
        <v>0</v>
      </c>
      <c r="M80" s="267">
        <f t="shared" si="12"/>
        <v>0</v>
      </c>
      <c r="N80" s="267">
        <f t="shared" si="12"/>
        <v>0</v>
      </c>
      <c r="O80" s="268">
        <f>SUM(O71,O72,O76,O77)</f>
        <v>0</v>
      </c>
      <c r="P80" s="205"/>
    </row>
    <row r="81" spans="1:16" s="203" customFormat="1" x14ac:dyDescent="0.2">
      <c r="A81" s="204"/>
      <c r="B81" s="233"/>
      <c r="C81" s="255"/>
      <c r="D81" s="254"/>
      <c r="E81" s="217"/>
      <c r="F81" s="217"/>
      <c r="G81" s="217"/>
      <c r="H81" s="217"/>
      <c r="I81" s="217"/>
      <c r="J81" s="217"/>
      <c r="K81" s="217"/>
      <c r="L81" s="217"/>
      <c r="M81" s="217"/>
      <c r="N81" s="217"/>
      <c r="O81" s="217"/>
      <c r="P81" s="205"/>
    </row>
    <row r="82" spans="1:16" s="203" customFormat="1" x14ac:dyDescent="0.2">
      <c r="A82" s="204"/>
      <c r="B82" s="269" t="s">
        <v>99</v>
      </c>
      <c r="C82" s="270" t="str">
        <f ca="1">IF(ISBLANK(C71),"Input "&amp;CELL("address",C71), "Ok input")</f>
        <v>Input $C$71</v>
      </c>
      <c r="D82" s="271" t="str">
        <f t="shared" ref="D82:N82" ca="1" si="13">IF(ISBLANK(D71),"Input "&amp;CELL("address",D71), "Ok input")</f>
        <v>Input $D$71</v>
      </c>
      <c r="E82" s="271" t="str">
        <f t="shared" ca="1" si="13"/>
        <v>Input $E$71</v>
      </c>
      <c r="F82" s="271" t="str">
        <f t="shared" ca="1" si="13"/>
        <v>Input $F$71</v>
      </c>
      <c r="G82" s="271" t="str">
        <f t="shared" ca="1" si="13"/>
        <v>Input $G$71</v>
      </c>
      <c r="H82" s="271" t="str">
        <f t="shared" ca="1" si="13"/>
        <v>Input $H$71</v>
      </c>
      <c r="I82" s="271" t="str">
        <f t="shared" ca="1" si="13"/>
        <v>Input $I$71</v>
      </c>
      <c r="J82" s="271" t="str">
        <f t="shared" ca="1" si="13"/>
        <v>Input $J$71</v>
      </c>
      <c r="K82" s="271" t="str">
        <f t="shared" ca="1" si="13"/>
        <v>Input $K$71</v>
      </c>
      <c r="L82" s="271" t="str">
        <f t="shared" ca="1" si="13"/>
        <v>Input $L$71</v>
      </c>
      <c r="M82" s="271" t="str">
        <f t="shared" ca="1" si="13"/>
        <v>Input $M$71</v>
      </c>
      <c r="N82" s="272" t="str">
        <f t="shared" ca="1" si="13"/>
        <v>Input $N$71</v>
      </c>
      <c r="O82" s="217"/>
      <c r="P82" s="205"/>
    </row>
    <row r="83" spans="1:16" s="203" customFormat="1" x14ac:dyDescent="0.2">
      <c r="A83" s="204"/>
      <c r="B83" s="269" t="s">
        <v>105</v>
      </c>
      <c r="C83" s="273" t="str">
        <f ca="1">IF(ISBLANK(C72),"Input "&amp;CELL("address",C72), "Ok input")</f>
        <v>Input $C$72</v>
      </c>
      <c r="D83" s="274" t="str">
        <f t="shared" ref="D83:N83" ca="1" si="14">IF(ISBLANK(D72),"Input "&amp;CELL("address",D72), "Ok input")</f>
        <v>Input $D$72</v>
      </c>
      <c r="E83" s="274" t="str">
        <f t="shared" ca="1" si="14"/>
        <v>Input $E$72</v>
      </c>
      <c r="F83" s="274" t="str">
        <f t="shared" ca="1" si="14"/>
        <v>Input $F$72</v>
      </c>
      <c r="G83" s="274" t="str">
        <f t="shared" ca="1" si="14"/>
        <v>Input $G$72</v>
      </c>
      <c r="H83" s="274" t="str">
        <f t="shared" ca="1" si="14"/>
        <v>Input $H$72</v>
      </c>
      <c r="I83" s="274" t="str">
        <f t="shared" ca="1" si="14"/>
        <v>Input $I$72</v>
      </c>
      <c r="J83" s="274" t="str">
        <f t="shared" ca="1" si="14"/>
        <v>Input $J$72</v>
      </c>
      <c r="K83" s="274" t="str">
        <f t="shared" ca="1" si="14"/>
        <v>Input $K$72</v>
      </c>
      <c r="L83" s="274" t="str">
        <f t="shared" ca="1" si="14"/>
        <v>Input $L$72</v>
      </c>
      <c r="M83" s="274" t="str">
        <f t="shared" ca="1" si="14"/>
        <v>Input $M$72</v>
      </c>
      <c r="N83" s="275" t="str">
        <f t="shared" ca="1" si="14"/>
        <v>Input $N$72</v>
      </c>
      <c r="O83" s="217"/>
      <c r="P83" s="205"/>
    </row>
    <row r="84" spans="1:16" s="203" customFormat="1" x14ac:dyDescent="0.2">
      <c r="A84" s="204"/>
      <c r="B84" s="233"/>
      <c r="C84" s="276" t="str">
        <f ca="1">IF(ISBLANK(C73),"Input "&amp;CELL("address",C73), "Ok input")</f>
        <v>Input $C$73</v>
      </c>
      <c r="D84" s="277" t="str">
        <f t="shared" ref="D84:N84" ca="1" si="15">IF(ISBLANK(D73),"Input "&amp;CELL("address",D73), "Ok input")</f>
        <v>Input $D$73</v>
      </c>
      <c r="E84" s="277" t="str">
        <f t="shared" ca="1" si="15"/>
        <v>Input $E$73</v>
      </c>
      <c r="F84" s="277" t="str">
        <f t="shared" ca="1" si="15"/>
        <v>Input $F$73</v>
      </c>
      <c r="G84" s="277" t="str">
        <f t="shared" ca="1" si="15"/>
        <v>Input $G$73</v>
      </c>
      <c r="H84" s="277" t="str">
        <f t="shared" ca="1" si="15"/>
        <v>Input $H$73</v>
      </c>
      <c r="I84" s="277" t="str">
        <f t="shared" ca="1" si="15"/>
        <v>Input $I$73</v>
      </c>
      <c r="J84" s="277" t="str">
        <f t="shared" ca="1" si="15"/>
        <v>Input $J$73</v>
      </c>
      <c r="K84" s="277" t="str">
        <f t="shared" ca="1" si="15"/>
        <v>Input $K$73</v>
      </c>
      <c r="L84" s="277" t="str">
        <f t="shared" ca="1" si="15"/>
        <v>Input $L$73</v>
      </c>
      <c r="M84" s="277" t="str">
        <f t="shared" ca="1" si="15"/>
        <v>Input $M$73</v>
      </c>
      <c r="N84" s="278" t="str">
        <f t="shared" ca="1" si="15"/>
        <v>Input $N$73</v>
      </c>
      <c r="O84" s="217"/>
      <c r="P84" s="205"/>
    </row>
    <row r="85" spans="1:16" s="203" customFormat="1" ht="13.5" thickBot="1" x14ac:dyDescent="0.25">
      <c r="A85" s="204"/>
      <c r="B85" s="204"/>
      <c r="C85" s="204"/>
      <c r="D85" s="204"/>
      <c r="P85" s="205"/>
    </row>
    <row r="86" spans="1:16" s="203" customFormat="1" ht="12.75" customHeight="1" x14ac:dyDescent="0.2">
      <c r="A86" s="204"/>
      <c r="B86" s="259" t="s">
        <v>135</v>
      </c>
      <c r="C86" s="279" t="s">
        <v>100</v>
      </c>
      <c r="D86" s="413" t="s">
        <v>101</v>
      </c>
      <c r="E86" s="414"/>
      <c r="F86" s="413" t="s">
        <v>107</v>
      </c>
      <c r="G86" s="414"/>
      <c r="H86" s="428" t="s">
        <v>319</v>
      </c>
      <c r="I86" s="429"/>
    </row>
    <row r="87" spans="1:16" s="203" customFormat="1" x14ac:dyDescent="0.2">
      <c r="A87" s="204"/>
      <c r="B87" s="280" t="s">
        <v>368</v>
      </c>
      <c r="C87" s="281">
        <f>IF(F87&gt;0,(F87/F89),0)</f>
        <v>0</v>
      </c>
      <c r="D87" s="409">
        <f>C87*D89</f>
        <v>0</v>
      </c>
      <c r="E87" s="410"/>
      <c r="F87" s="411">
        <f>O71+O76</f>
        <v>0</v>
      </c>
      <c r="G87" s="412"/>
      <c r="H87" s="430"/>
      <c r="I87" s="431"/>
    </row>
    <row r="88" spans="1:16" s="203" customFormat="1" ht="20.25" customHeight="1" x14ac:dyDescent="0.2">
      <c r="A88" s="204"/>
      <c r="B88" s="280" t="s">
        <v>369</v>
      </c>
      <c r="C88" s="281">
        <f>IF(F88&gt;0,(F88/F89),0)</f>
        <v>0</v>
      </c>
      <c r="D88" s="409">
        <f>C88*D89</f>
        <v>0</v>
      </c>
      <c r="E88" s="410"/>
      <c r="F88" s="411">
        <f>O72+O77</f>
        <v>0</v>
      </c>
      <c r="G88" s="412"/>
      <c r="H88" s="430"/>
      <c r="I88" s="431"/>
    </row>
    <row r="89" spans="1:16" s="203" customFormat="1" ht="13.5" thickBot="1" x14ac:dyDescent="0.25">
      <c r="A89" s="204"/>
      <c r="B89" s="282" t="s">
        <v>98</v>
      </c>
      <c r="C89" s="283">
        <f>C87+C88</f>
        <v>0</v>
      </c>
      <c r="D89" s="432">
        <f>C25</f>
        <v>0</v>
      </c>
      <c r="E89" s="432"/>
      <c r="F89" s="433">
        <f>O80</f>
        <v>0</v>
      </c>
      <c r="G89" s="433"/>
      <c r="H89" s="434">
        <f>IF(O80&gt;0,F89/D89,0)</f>
        <v>0</v>
      </c>
      <c r="I89" s="435"/>
    </row>
    <row r="90" spans="1:16" s="203" customFormat="1" x14ac:dyDescent="0.2">
      <c r="A90" s="204"/>
      <c r="B90" s="356"/>
      <c r="C90" s="285"/>
      <c r="D90" s="357"/>
      <c r="E90" s="357"/>
      <c r="F90" s="358"/>
      <c r="G90" s="358"/>
      <c r="H90" s="359"/>
      <c r="I90" s="359"/>
    </row>
    <row r="91" spans="1:16" s="203" customFormat="1" x14ac:dyDescent="0.2">
      <c r="A91" s="366"/>
      <c r="B91" s="425" t="s">
        <v>304</v>
      </c>
      <c r="C91" s="426"/>
      <c r="D91" s="426"/>
      <c r="E91" s="426"/>
      <c r="F91" s="426"/>
      <c r="G91" s="426"/>
      <c r="H91" s="426"/>
      <c r="I91" s="426"/>
      <c r="J91" s="426"/>
      <c r="K91" s="426"/>
      <c r="L91" s="426"/>
      <c r="M91" s="426"/>
      <c r="N91" s="426"/>
      <c r="O91" s="427"/>
    </row>
    <row r="92" spans="1:16" x14ac:dyDescent="0.2">
      <c r="A92" s="366"/>
      <c r="B92" s="436"/>
      <c r="C92" s="437"/>
      <c r="D92" s="437"/>
      <c r="E92" s="437"/>
      <c r="F92" s="437"/>
      <c r="G92" s="437"/>
      <c r="H92" s="437"/>
      <c r="I92" s="437"/>
      <c r="J92" s="437"/>
      <c r="K92" s="437"/>
      <c r="L92" s="437"/>
      <c r="M92" s="437"/>
      <c r="N92" s="437"/>
      <c r="O92" s="438"/>
    </row>
    <row r="93" spans="1:16" s="360" customFormat="1" x14ac:dyDescent="0.2">
      <c r="B93" s="361"/>
      <c r="C93" s="361"/>
      <c r="D93" s="361"/>
      <c r="E93" s="361"/>
      <c r="F93" s="361"/>
      <c r="G93" s="361"/>
      <c r="H93" s="361"/>
      <c r="I93" s="361"/>
      <c r="J93" s="361"/>
      <c r="K93" s="361"/>
      <c r="L93" s="361"/>
      <c r="M93" s="361"/>
      <c r="N93" s="361"/>
      <c r="O93" s="361"/>
    </row>
    <row r="94" spans="1:16" ht="15" x14ac:dyDescent="0.2">
      <c r="A94" s="212" t="s">
        <v>305</v>
      </c>
    </row>
    <row r="95" spans="1:16" ht="13.5" thickBot="1" x14ac:dyDescent="0.25">
      <c r="E95" s="362"/>
      <c r="F95" s="362"/>
      <c r="G95" s="362"/>
      <c r="H95" s="362"/>
    </row>
    <row r="96" spans="1:16" ht="24" customHeight="1" x14ac:dyDescent="0.2">
      <c r="B96" s="422" t="s">
        <v>134</v>
      </c>
      <c r="C96" s="423"/>
      <c r="E96" s="424"/>
      <c r="F96" s="424"/>
      <c r="G96" s="424"/>
      <c r="H96" s="362"/>
    </row>
    <row r="97" spans="1:15" x14ac:dyDescent="0.2">
      <c r="B97" s="280" t="s">
        <v>368</v>
      </c>
      <c r="C97" s="331"/>
      <c r="E97" s="421"/>
      <c r="F97" s="421"/>
      <c r="G97" s="363"/>
      <c r="H97" s="362"/>
    </row>
    <row r="98" spans="1:15" x14ac:dyDescent="0.2">
      <c r="B98" s="280" t="s">
        <v>369</v>
      </c>
      <c r="C98" s="331"/>
      <c r="E98" s="421"/>
      <c r="F98" s="421"/>
      <c r="G98" s="363"/>
      <c r="H98" s="362"/>
    </row>
    <row r="99" spans="1:15" ht="13.5" thickBot="1" x14ac:dyDescent="0.25">
      <c r="B99" s="282" t="s">
        <v>98</v>
      </c>
      <c r="C99" s="284">
        <f>C97+C98</f>
        <v>0</v>
      </c>
      <c r="E99" s="364"/>
      <c r="F99" s="365"/>
      <c r="G99" s="363"/>
      <c r="H99" s="362"/>
    </row>
    <row r="100" spans="1:15" x14ac:dyDescent="0.2">
      <c r="B100" s="229" t="s">
        <v>132</v>
      </c>
      <c r="C100" s="285"/>
    </row>
    <row r="101" spans="1:15" s="203" customFormat="1" ht="12.75" customHeight="1" x14ac:dyDescent="0.2">
      <c r="A101" s="212"/>
      <c r="B101" s="229" t="s">
        <v>136</v>
      </c>
      <c r="C101" s="204"/>
      <c r="D101" s="204"/>
    </row>
    <row r="102" spans="1:15" s="203" customFormat="1" ht="12.75" customHeight="1" x14ac:dyDescent="0.2">
      <c r="A102" s="212"/>
      <c r="B102" s="229" t="s">
        <v>137</v>
      </c>
      <c r="C102" s="204"/>
      <c r="D102" s="204"/>
    </row>
    <row r="103" spans="1:15" s="203" customFormat="1" ht="12.75" customHeight="1" x14ac:dyDescent="0.2">
      <c r="A103" s="212"/>
      <c r="B103" s="229" t="s">
        <v>108</v>
      </c>
      <c r="C103" s="204"/>
      <c r="D103" s="204"/>
    </row>
    <row r="104" spans="1:15" s="203" customFormat="1" ht="12.75" customHeight="1" x14ac:dyDescent="0.2">
      <c r="A104" s="212"/>
      <c r="B104" s="229" t="s">
        <v>109</v>
      </c>
      <c r="C104" s="204"/>
      <c r="D104" s="204"/>
    </row>
    <row r="105" spans="1:15" s="203" customFormat="1" ht="12.75" customHeight="1" x14ac:dyDescent="0.2">
      <c r="A105" s="212"/>
      <c r="B105" s="229"/>
      <c r="C105" s="204"/>
      <c r="D105" s="204"/>
    </row>
    <row r="106" spans="1:15" s="203" customFormat="1" ht="16.5" customHeight="1" x14ac:dyDescent="0.2">
      <c r="A106" s="212" t="s">
        <v>141</v>
      </c>
      <c r="C106" s="204"/>
      <c r="D106" s="204"/>
    </row>
    <row r="107" spans="1:15" s="203" customFormat="1" ht="12.75" customHeight="1" thickBot="1" x14ac:dyDescent="0.25">
      <c r="A107" s="204"/>
      <c r="B107" s="229" t="s">
        <v>307</v>
      </c>
      <c r="C107" s="204"/>
      <c r="D107" s="204"/>
    </row>
    <row r="108" spans="1:15" s="203" customFormat="1" ht="60" customHeight="1" thickBot="1" x14ac:dyDescent="0.25">
      <c r="A108" s="204"/>
      <c r="B108" s="286" t="s">
        <v>90</v>
      </c>
      <c r="C108" s="287" t="s">
        <v>23</v>
      </c>
      <c r="D108" s="403" t="s">
        <v>110</v>
      </c>
      <c r="E108" s="404"/>
      <c r="F108" s="403" t="s">
        <v>111</v>
      </c>
      <c r="G108" s="404"/>
      <c r="H108" s="403" t="s">
        <v>112</v>
      </c>
      <c r="I108" s="404"/>
      <c r="J108" s="403" t="s">
        <v>113</v>
      </c>
      <c r="K108" s="404"/>
      <c r="L108" s="401" t="s">
        <v>114</v>
      </c>
      <c r="M108" s="402"/>
      <c r="N108" s="288"/>
      <c r="O108" s="288"/>
    </row>
    <row r="109" spans="1:15" s="203" customFormat="1" x14ac:dyDescent="0.2">
      <c r="A109" s="289">
        <v>1</v>
      </c>
      <c r="B109" s="290" t="str">
        <f>IF(A109&gt;$A$62,"",VLOOKUP(A109,$A$35:$B$62,2,FALSE))</f>
        <v>ReSoMal, 42g sachet/1L/CAR-100</v>
      </c>
      <c r="C109" s="291" t="str">
        <f t="shared" ref="C109:C133" si="16">IF(B109="","",INDEX(products_all,MATCH(B109,products_dd,0),2))</f>
        <v>CAR-100</v>
      </c>
      <c r="D109" s="41">
        <v>0</v>
      </c>
      <c r="E109" s="292" t="str">
        <f ca="1">IF(B109="","",IF(ISBLANK(D109)," Input "&amp;CELL("address",D109),IF(OR(D109&lt;0, D109&gt;6)," Input 0 - 6"," Ok input")))</f>
        <v xml:space="preserve"> Ok input</v>
      </c>
      <c r="F109" s="41">
        <v>0</v>
      </c>
      <c r="G109" s="292" t="str">
        <f ca="1">IF(B109="","",IF(ISBLANK(F109)," Input "&amp;CELL("address",F109)," Ok input"))</f>
        <v xml:space="preserve"> Ok input</v>
      </c>
      <c r="H109" s="41">
        <v>0</v>
      </c>
      <c r="I109" s="292" t="str">
        <f ca="1">IF(B109="","",IF(ISBLANK(H109)," Input "&amp;CELL("address",H109)," Ok input"))</f>
        <v xml:space="preserve"> Ok input</v>
      </c>
      <c r="J109" s="41">
        <v>0</v>
      </c>
      <c r="K109" s="292" t="str">
        <f ca="1">IF(B109="","",IF(ISBLANK(J109)," Input "&amp;CELL("address",J109)," Ok input"))</f>
        <v xml:space="preserve"> Ok input</v>
      </c>
      <c r="L109" s="293">
        <f>F109+H109+J109</f>
        <v>0</v>
      </c>
      <c r="M109" s="294"/>
      <c r="N109" s="295"/>
      <c r="O109" s="295"/>
    </row>
    <row r="110" spans="1:15" s="203" customFormat="1" ht="24" x14ac:dyDescent="0.2">
      <c r="A110" s="289">
        <f>A109+1</f>
        <v>2</v>
      </c>
      <c r="B110" s="290" t="str">
        <f t="shared" ref="B110:B133" si="17">IF(A110&gt;$A$62,"",VLOOKUP(A110,$A$35:$B$62,2,FALSE))</f>
        <v>F75 Therapeutic diet, sachet 102.5g/CAR-120</v>
      </c>
      <c r="C110" s="291" t="str">
        <f t="shared" si="16"/>
        <v>CAR-120</v>
      </c>
      <c r="D110" s="41">
        <v>0</v>
      </c>
      <c r="E110" s="292" t="str">
        <f t="shared" ref="E110:E133" ca="1" si="18">IF(B110="","",IF(ISBLANK(D110)," Input "&amp;CELL("address",D110),IF(OR(D110&lt;0, D110&gt;6)," Input 0 - 6"," Ok input")))</f>
        <v xml:space="preserve"> Ok input</v>
      </c>
      <c r="F110" s="41">
        <v>0</v>
      </c>
      <c r="G110" s="292" t="str">
        <f t="shared" ref="G110:G133" ca="1" si="19">IF(B110="","",IF(ISBLANK(F110)," Input "&amp;CELL("address",F110)," Ok input"))</f>
        <v xml:space="preserve"> Ok input</v>
      </c>
      <c r="H110" s="41">
        <v>0</v>
      </c>
      <c r="I110" s="292" t="str">
        <f t="shared" ref="I110:I133" ca="1" si="20">IF(B110="","",IF(ISBLANK(H110)," Input "&amp;CELL("address",H110)," Ok input"))</f>
        <v xml:space="preserve"> Ok input</v>
      </c>
      <c r="J110" s="41">
        <v>0</v>
      </c>
      <c r="K110" s="292" t="str">
        <f t="shared" ref="K110:K133" ca="1" si="21">IF(B110="","",IF(ISBLANK(J110)," Input "&amp;CELL("address",J110)," Ok input"))</f>
        <v xml:space="preserve"> Ok input</v>
      </c>
      <c r="L110" s="296">
        <f t="shared" ref="L110:L133" si="22">F110+H110+J110</f>
        <v>0</v>
      </c>
      <c r="M110" s="297"/>
      <c r="N110" s="295"/>
      <c r="O110" s="295"/>
    </row>
    <row r="111" spans="1:15" s="203" customFormat="1" x14ac:dyDescent="0.2">
      <c r="A111" s="289">
        <f t="shared" ref="A111:A133" si="23">A110+1</f>
        <v>3</v>
      </c>
      <c r="B111" s="290" t="str">
        <f t="shared" si="17"/>
        <v>F100 Therapeutic diet, sachet 114g/CAR-90</v>
      </c>
      <c r="C111" s="291" t="str">
        <f t="shared" si="16"/>
        <v>CAR-90</v>
      </c>
      <c r="D111" s="41">
        <v>0</v>
      </c>
      <c r="E111" s="292" t="str">
        <f t="shared" ca="1" si="18"/>
        <v xml:space="preserve"> Ok input</v>
      </c>
      <c r="F111" s="41">
        <v>0</v>
      </c>
      <c r="G111" s="292" t="str">
        <f t="shared" ca="1" si="19"/>
        <v xml:space="preserve"> Ok input</v>
      </c>
      <c r="H111" s="41">
        <v>0</v>
      </c>
      <c r="I111" s="292" t="str">
        <f t="shared" ca="1" si="20"/>
        <v xml:space="preserve"> Ok input</v>
      </c>
      <c r="J111" s="41">
        <v>0</v>
      </c>
      <c r="K111" s="292" t="str">
        <f t="shared" ca="1" si="21"/>
        <v xml:space="preserve"> Ok input</v>
      </c>
      <c r="L111" s="296">
        <f t="shared" si="22"/>
        <v>0</v>
      </c>
      <c r="M111" s="297"/>
      <c r="N111" s="295"/>
      <c r="O111" s="295"/>
    </row>
    <row r="112" spans="1:15" s="203" customFormat="1" x14ac:dyDescent="0.2">
      <c r="A112" s="289">
        <f t="shared" si="23"/>
        <v>4</v>
      </c>
      <c r="B112" s="290" t="str">
        <f t="shared" si="17"/>
        <v>Folic acid 5mg tabs/PAC-1000</v>
      </c>
      <c r="C112" s="291" t="str">
        <f t="shared" si="16"/>
        <v>PAC-1000</v>
      </c>
      <c r="D112" s="41">
        <v>0</v>
      </c>
      <c r="E112" s="292" t="str">
        <f t="shared" ca="1" si="18"/>
        <v xml:space="preserve"> Ok input</v>
      </c>
      <c r="F112" s="41">
        <v>0</v>
      </c>
      <c r="G112" s="292" t="str">
        <f t="shared" ca="1" si="19"/>
        <v xml:space="preserve"> Ok input</v>
      </c>
      <c r="H112" s="41">
        <v>0</v>
      </c>
      <c r="I112" s="292" t="str">
        <f t="shared" ca="1" si="20"/>
        <v xml:space="preserve"> Ok input</v>
      </c>
      <c r="J112" s="41">
        <v>0</v>
      </c>
      <c r="K112" s="292" t="str">
        <f t="shared" ca="1" si="21"/>
        <v xml:space="preserve"> Ok input</v>
      </c>
      <c r="L112" s="296">
        <f t="shared" si="22"/>
        <v>0</v>
      </c>
      <c r="M112" s="297"/>
      <c r="N112" s="295"/>
      <c r="O112" s="295"/>
    </row>
    <row r="113" spans="1:15" s="203" customFormat="1" x14ac:dyDescent="0.2">
      <c r="A113" s="289">
        <f t="shared" si="23"/>
        <v>5</v>
      </c>
      <c r="B113" s="290" t="str">
        <f t="shared" si="17"/>
        <v>Therapeutic spread, sachet 92g/CAR-150</v>
      </c>
      <c r="C113" s="291" t="str">
        <f t="shared" si="16"/>
        <v>CAR-150</v>
      </c>
      <c r="D113" s="41">
        <v>0</v>
      </c>
      <c r="E113" s="292" t="str">
        <f t="shared" ca="1" si="18"/>
        <v xml:space="preserve"> Ok input</v>
      </c>
      <c r="F113" s="41">
        <v>0</v>
      </c>
      <c r="G113" s="292" t="str">
        <f t="shared" ca="1" si="19"/>
        <v xml:space="preserve"> Ok input</v>
      </c>
      <c r="H113" s="41">
        <v>0</v>
      </c>
      <c r="I113" s="292" t="str">
        <f t="shared" ca="1" si="20"/>
        <v xml:space="preserve"> Ok input</v>
      </c>
      <c r="J113" s="41">
        <v>0</v>
      </c>
      <c r="K113" s="292" t="str">
        <f t="shared" ca="1" si="21"/>
        <v xml:space="preserve"> Ok input</v>
      </c>
      <c r="L113" s="296">
        <f t="shared" si="22"/>
        <v>0</v>
      </c>
      <c r="M113" s="297"/>
      <c r="N113" s="295"/>
      <c r="O113" s="295"/>
    </row>
    <row r="114" spans="1:15" s="203" customFormat="1" x14ac:dyDescent="0.2">
      <c r="A114" s="289">
        <f t="shared" si="23"/>
        <v>6</v>
      </c>
      <c r="B114" s="290" t="str">
        <f t="shared" si="17"/>
        <v>Retinol 100,000IU soft gel.caps/PAC-500</v>
      </c>
      <c r="C114" s="291" t="str">
        <f t="shared" si="16"/>
        <v>PAC-500</v>
      </c>
      <c r="D114" s="41">
        <v>0</v>
      </c>
      <c r="E114" s="292" t="str">
        <f t="shared" ca="1" si="18"/>
        <v xml:space="preserve"> Ok input</v>
      </c>
      <c r="F114" s="41">
        <v>0</v>
      </c>
      <c r="G114" s="292" t="str">
        <f t="shared" ca="1" si="19"/>
        <v xml:space="preserve"> Ok input</v>
      </c>
      <c r="H114" s="41">
        <v>0</v>
      </c>
      <c r="I114" s="292" t="str">
        <f t="shared" ca="1" si="20"/>
        <v xml:space="preserve"> Ok input</v>
      </c>
      <c r="J114" s="41">
        <v>0</v>
      </c>
      <c r="K114" s="292" t="str">
        <f t="shared" ca="1" si="21"/>
        <v xml:space="preserve"> Ok input</v>
      </c>
      <c r="L114" s="296">
        <f t="shared" si="22"/>
        <v>0</v>
      </c>
      <c r="M114" s="297"/>
      <c r="N114" s="295"/>
      <c r="O114" s="295"/>
    </row>
    <row r="115" spans="1:15" s="203" customFormat="1" x14ac:dyDescent="0.2">
      <c r="A115" s="289">
        <f t="shared" si="23"/>
        <v>7</v>
      </c>
      <c r="B115" s="290" t="str">
        <f t="shared" si="17"/>
        <v>Retinol 200,000IU soft gel.caps/PAC-500</v>
      </c>
      <c r="C115" s="291" t="str">
        <f t="shared" si="16"/>
        <v>PAC-500</v>
      </c>
      <c r="D115" s="41">
        <v>0</v>
      </c>
      <c r="E115" s="292" t="str">
        <f t="shared" ca="1" si="18"/>
        <v xml:space="preserve"> Ok input</v>
      </c>
      <c r="F115" s="41">
        <v>0</v>
      </c>
      <c r="G115" s="292" t="str">
        <f t="shared" ca="1" si="19"/>
        <v xml:space="preserve"> Ok input</v>
      </c>
      <c r="H115" s="41">
        <v>0</v>
      </c>
      <c r="I115" s="292" t="str">
        <f t="shared" ca="1" si="20"/>
        <v xml:space="preserve"> Ok input</v>
      </c>
      <c r="J115" s="41">
        <v>0</v>
      </c>
      <c r="K115" s="292" t="str">
        <f t="shared" ca="1" si="21"/>
        <v xml:space="preserve"> Ok input</v>
      </c>
      <c r="L115" s="296">
        <f t="shared" si="22"/>
        <v>0</v>
      </c>
      <c r="M115" s="297"/>
      <c r="N115" s="295"/>
      <c r="O115" s="295"/>
    </row>
    <row r="116" spans="1:15" s="203" customFormat="1" x14ac:dyDescent="0.2">
      <c r="A116" s="289">
        <f t="shared" si="23"/>
        <v>8</v>
      </c>
      <c r="B116" s="290" t="str">
        <f t="shared" si="17"/>
        <v>BP100 Therapeutic diet/CAR-9x24x56.8g</v>
      </c>
      <c r="C116" s="291" t="str">
        <f t="shared" si="16"/>
        <v>CAR-9x24</v>
      </c>
      <c r="D116" s="41">
        <v>0</v>
      </c>
      <c r="E116" s="292" t="str">
        <f t="shared" ca="1" si="18"/>
        <v xml:space="preserve"> Ok input</v>
      </c>
      <c r="F116" s="41">
        <v>0</v>
      </c>
      <c r="G116" s="292" t="str">
        <f t="shared" ca="1" si="19"/>
        <v xml:space="preserve"> Ok input</v>
      </c>
      <c r="H116" s="41">
        <v>0</v>
      </c>
      <c r="I116" s="292" t="str">
        <f t="shared" ca="1" si="20"/>
        <v xml:space="preserve"> Ok input</v>
      </c>
      <c r="J116" s="41">
        <v>0</v>
      </c>
      <c r="K116" s="292" t="str">
        <f t="shared" ca="1" si="21"/>
        <v xml:space="preserve"> Ok input</v>
      </c>
      <c r="L116" s="296">
        <f t="shared" si="22"/>
        <v>0</v>
      </c>
      <c r="M116" s="297"/>
      <c r="N116" s="295"/>
      <c r="O116" s="295"/>
    </row>
    <row r="117" spans="1:15" s="203" customFormat="1" ht="12.75" customHeight="1" x14ac:dyDescent="0.2">
      <c r="A117" s="289">
        <f t="shared" si="23"/>
        <v>9</v>
      </c>
      <c r="B117" s="290" t="str">
        <f t="shared" si="17"/>
        <v>Mebendazole 500 mg tabs/PAC-100</v>
      </c>
      <c r="C117" s="291" t="str">
        <f t="shared" si="16"/>
        <v>PAC-100</v>
      </c>
      <c r="D117" s="41">
        <v>0</v>
      </c>
      <c r="E117" s="292" t="str">
        <f t="shared" ca="1" si="18"/>
        <v xml:space="preserve"> Ok input</v>
      </c>
      <c r="F117" s="41">
        <v>0</v>
      </c>
      <c r="G117" s="292" t="str">
        <f t="shared" ca="1" si="19"/>
        <v xml:space="preserve"> Ok input</v>
      </c>
      <c r="H117" s="41">
        <v>0</v>
      </c>
      <c r="I117" s="292" t="str">
        <f t="shared" ca="1" si="20"/>
        <v xml:space="preserve"> Ok input</v>
      </c>
      <c r="J117" s="41">
        <v>0</v>
      </c>
      <c r="K117" s="292" t="str">
        <f t="shared" ca="1" si="21"/>
        <v xml:space="preserve"> Ok input</v>
      </c>
      <c r="L117" s="296">
        <f t="shared" si="22"/>
        <v>0</v>
      </c>
      <c r="M117" s="297"/>
      <c r="N117" s="295"/>
      <c r="O117" s="295"/>
    </row>
    <row r="118" spans="1:15" s="203" customFormat="1" ht="12.75" customHeight="1" x14ac:dyDescent="0.2">
      <c r="A118" s="289">
        <f t="shared" si="23"/>
        <v>10</v>
      </c>
      <c r="B118" s="290" t="str">
        <f t="shared" si="17"/>
        <v>Amoxici.pdr/oral sus 125mg/5ml/BOT-100ml</v>
      </c>
      <c r="C118" s="291" t="str">
        <f t="shared" si="16"/>
        <v>BOT-100ml</v>
      </c>
      <c r="D118" s="41">
        <v>0</v>
      </c>
      <c r="E118" s="292" t="str">
        <f t="shared" ca="1" si="18"/>
        <v xml:space="preserve"> Ok input</v>
      </c>
      <c r="F118" s="41">
        <v>0</v>
      </c>
      <c r="G118" s="292" t="str">
        <f t="shared" ca="1" si="19"/>
        <v xml:space="preserve"> Ok input</v>
      </c>
      <c r="H118" s="41">
        <v>0</v>
      </c>
      <c r="I118" s="292" t="str">
        <f t="shared" ca="1" si="20"/>
        <v xml:space="preserve"> Ok input</v>
      </c>
      <c r="J118" s="41">
        <v>0</v>
      </c>
      <c r="K118" s="292" t="str">
        <f t="shared" ca="1" si="21"/>
        <v xml:space="preserve"> Ok input</v>
      </c>
      <c r="L118" s="296">
        <f t="shared" si="22"/>
        <v>0</v>
      </c>
      <c r="M118" s="297"/>
      <c r="N118" s="295"/>
      <c r="O118" s="295"/>
    </row>
    <row r="119" spans="1:15" s="203" customFormat="1" x14ac:dyDescent="0.2">
      <c r="A119" s="289">
        <f t="shared" si="23"/>
        <v>11</v>
      </c>
      <c r="B119" s="290" t="str">
        <f t="shared" si="17"/>
        <v/>
      </c>
      <c r="C119" s="291" t="str">
        <f t="shared" si="16"/>
        <v/>
      </c>
      <c r="D119" s="41"/>
      <c r="E119" s="292" t="str">
        <f t="shared" ca="1" si="18"/>
        <v/>
      </c>
      <c r="F119" s="41"/>
      <c r="G119" s="292" t="str">
        <f t="shared" ca="1" si="19"/>
        <v/>
      </c>
      <c r="H119" s="41"/>
      <c r="I119" s="292" t="str">
        <f t="shared" ca="1" si="20"/>
        <v/>
      </c>
      <c r="J119" s="41"/>
      <c r="K119" s="292" t="str">
        <f t="shared" ca="1" si="21"/>
        <v/>
      </c>
      <c r="L119" s="296">
        <f t="shared" si="22"/>
        <v>0</v>
      </c>
      <c r="M119" s="297"/>
      <c r="N119" s="295"/>
      <c r="O119" s="295"/>
    </row>
    <row r="120" spans="1:15" s="203" customFormat="1" x14ac:dyDescent="0.2">
      <c r="A120" s="289">
        <f t="shared" si="23"/>
        <v>12</v>
      </c>
      <c r="B120" s="290" t="str">
        <f t="shared" si="17"/>
        <v/>
      </c>
      <c r="C120" s="291" t="str">
        <f t="shared" si="16"/>
        <v/>
      </c>
      <c r="D120" s="41"/>
      <c r="E120" s="292" t="str">
        <f t="shared" ca="1" si="18"/>
        <v/>
      </c>
      <c r="F120" s="41"/>
      <c r="G120" s="292" t="str">
        <f t="shared" ca="1" si="19"/>
        <v/>
      </c>
      <c r="H120" s="41"/>
      <c r="I120" s="292" t="str">
        <f t="shared" ca="1" si="20"/>
        <v/>
      </c>
      <c r="J120" s="41"/>
      <c r="K120" s="292" t="str">
        <f t="shared" ca="1" si="21"/>
        <v/>
      </c>
      <c r="L120" s="296">
        <f t="shared" si="22"/>
        <v>0</v>
      </c>
      <c r="M120" s="297"/>
      <c r="N120" s="295"/>
      <c r="O120" s="295"/>
    </row>
    <row r="121" spans="1:15" s="203" customFormat="1" x14ac:dyDescent="0.2">
      <c r="A121" s="289">
        <f t="shared" si="23"/>
        <v>13</v>
      </c>
      <c r="B121" s="290" t="str">
        <f t="shared" si="17"/>
        <v/>
      </c>
      <c r="C121" s="291" t="str">
        <f t="shared" si="16"/>
        <v/>
      </c>
      <c r="D121" s="41"/>
      <c r="E121" s="292" t="str">
        <f t="shared" ca="1" si="18"/>
        <v/>
      </c>
      <c r="F121" s="41"/>
      <c r="G121" s="292" t="str">
        <f t="shared" ca="1" si="19"/>
        <v/>
      </c>
      <c r="H121" s="41"/>
      <c r="I121" s="292" t="str">
        <f t="shared" ca="1" si="20"/>
        <v/>
      </c>
      <c r="J121" s="41"/>
      <c r="K121" s="292" t="str">
        <f t="shared" ca="1" si="21"/>
        <v/>
      </c>
      <c r="L121" s="296">
        <f t="shared" si="22"/>
        <v>0</v>
      </c>
      <c r="M121" s="297"/>
      <c r="N121" s="295"/>
      <c r="O121" s="295"/>
    </row>
    <row r="122" spans="1:15" s="203" customFormat="1" x14ac:dyDescent="0.2">
      <c r="A122" s="289">
        <f t="shared" si="23"/>
        <v>14</v>
      </c>
      <c r="B122" s="290" t="str">
        <f t="shared" si="17"/>
        <v/>
      </c>
      <c r="C122" s="291" t="str">
        <f t="shared" si="16"/>
        <v/>
      </c>
      <c r="D122" s="41"/>
      <c r="E122" s="292" t="str">
        <f t="shared" ca="1" si="18"/>
        <v/>
      </c>
      <c r="F122" s="41"/>
      <c r="G122" s="292" t="str">
        <f t="shared" ca="1" si="19"/>
        <v/>
      </c>
      <c r="H122" s="41"/>
      <c r="I122" s="292" t="str">
        <f t="shared" ca="1" si="20"/>
        <v/>
      </c>
      <c r="J122" s="41"/>
      <c r="K122" s="292" t="str">
        <f t="shared" ca="1" si="21"/>
        <v/>
      </c>
      <c r="L122" s="296">
        <f t="shared" si="22"/>
        <v>0</v>
      </c>
      <c r="M122" s="297"/>
      <c r="N122" s="295"/>
      <c r="O122" s="295"/>
    </row>
    <row r="123" spans="1:15" s="203" customFormat="1" x14ac:dyDescent="0.2">
      <c r="A123" s="289">
        <f t="shared" si="23"/>
        <v>15</v>
      </c>
      <c r="B123" s="290" t="str">
        <f t="shared" si="17"/>
        <v/>
      </c>
      <c r="C123" s="291" t="str">
        <f t="shared" si="16"/>
        <v/>
      </c>
      <c r="D123" s="41"/>
      <c r="E123" s="292" t="str">
        <f t="shared" ca="1" si="18"/>
        <v/>
      </c>
      <c r="F123" s="41"/>
      <c r="G123" s="292" t="str">
        <f t="shared" ca="1" si="19"/>
        <v/>
      </c>
      <c r="H123" s="41"/>
      <c r="I123" s="292" t="str">
        <f t="shared" ca="1" si="20"/>
        <v/>
      </c>
      <c r="J123" s="41"/>
      <c r="K123" s="292" t="str">
        <f t="shared" ca="1" si="21"/>
        <v/>
      </c>
      <c r="L123" s="296">
        <f t="shared" si="22"/>
        <v>0</v>
      </c>
      <c r="M123" s="297"/>
      <c r="N123" s="295"/>
      <c r="O123" s="295"/>
    </row>
    <row r="124" spans="1:15" s="203" customFormat="1" x14ac:dyDescent="0.2">
      <c r="A124" s="289">
        <f t="shared" si="23"/>
        <v>16</v>
      </c>
      <c r="B124" s="290" t="str">
        <f t="shared" si="17"/>
        <v/>
      </c>
      <c r="C124" s="291" t="str">
        <f t="shared" si="16"/>
        <v/>
      </c>
      <c r="D124" s="41"/>
      <c r="E124" s="292" t="str">
        <f t="shared" ca="1" si="18"/>
        <v/>
      </c>
      <c r="F124" s="41"/>
      <c r="G124" s="292" t="str">
        <f t="shared" ca="1" si="19"/>
        <v/>
      </c>
      <c r="H124" s="41"/>
      <c r="I124" s="292" t="str">
        <f t="shared" ca="1" si="20"/>
        <v/>
      </c>
      <c r="J124" s="41"/>
      <c r="K124" s="292" t="str">
        <f t="shared" ca="1" si="21"/>
        <v/>
      </c>
      <c r="L124" s="296">
        <f t="shared" si="22"/>
        <v>0</v>
      </c>
      <c r="M124" s="297"/>
      <c r="N124" s="295"/>
      <c r="O124" s="295"/>
    </row>
    <row r="125" spans="1:15" s="203" customFormat="1" x14ac:dyDescent="0.2">
      <c r="A125" s="289">
        <f t="shared" si="23"/>
        <v>17</v>
      </c>
      <c r="B125" s="290" t="str">
        <f t="shared" si="17"/>
        <v/>
      </c>
      <c r="C125" s="291" t="str">
        <f t="shared" si="16"/>
        <v/>
      </c>
      <c r="D125" s="41"/>
      <c r="E125" s="292" t="str">
        <f t="shared" ca="1" si="18"/>
        <v/>
      </c>
      <c r="F125" s="41"/>
      <c r="G125" s="292" t="str">
        <f t="shared" ca="1" si="19"/>
        <v/>
      </c>
      <c r="H125" s="41"/>
      <c r="I125" s="292" t="str">
        <f t="shared" ca="1" si="20"/>
        <v/>
      </c>
      <c r="J125" s="41"/>
      <c r="K125" s="292" t="str">
        <f t="shared" ca="1" si="21"/>
        <v/>
      </c>
      <c r="L125" s="296">
        <f t="shared" si="22"/>
        <v>0</v>
      </c>
      <c r="M125" s="297"/>
      <c r="N125" s="295"/>
      <c r="O125" s="295"/>
    </row>
    <row r="126" spans="1:15" s="203" customFormat="1" x14ac:dyDescent="0.2">
      <c r="A126" s="289">
        <f t="shared" si="23"/>
        <v>18</v>
      </c>
      <c r="B126" s="290" t="str">
        <f t="shared" si="17"/>
        <v/>
      </c>
      <c r="C126" s="291" t="str">
        <f t="shared" si="16"/>
        <v/>
      </c>
      <c r="D126" s="41"/>
      <c r="E126" s="292" t="str">
        <f t="shared" ca="1" si="18"/>
        <v/>
      </c>
      <c r="F126" s="41"/>
      <c r="G126" s="292" t="str">
        <f t="shared" ca="1" si="19"/>
        <v/>
      </c>
      <c r="H126" s="41"/>
      <c r="I126" s="292" t="str">
        <f t="shared" ca="1" si="20"/>
        <v/>
      </c>
      <c r="J126" s="41"/>
      <c r="K126" s="292" t="str">
        <f t="shared" ca="1" si="21"/>
        <v/>
      </c>
      <c r="L126" s="296">
        <f t="shared" si="22"/>
        <v>0</v>
      </c>
      <c r="M126" s="297"/>
      <c r="N126" s="295"/>
      <c r="O126" s="295"/>
    </row>
    <row r="127" spans="1:15" s="203" customFormat="1" x14ac:dyDescent="0.2">
      <c r="A127" s="289">
        <f t="shared" si="23"/>
        <v>19</v>
      </c>
      <c r="B127" s="290" t="str">
        <f t="shared" si="17"/>
        <v/>
      </c>
      <c r="C127" s="291" t="str">
        <f t="shared" si="16"/>
        <v/>
      </c>
      <c r="D127" s="41"/>
      <c r="E127" s="292" t="str">
        <f t="shared" ca="1" si="18"/>
        <v/>
      </c>
      <c r="F127" s="41"/>
      <c r="G127" s="292" t="str">
        <f t="shared" ca="1" si="19"/>
        <v/>
      </c>
      <c r="H127" s="41"/>
      <c r="I127" s="292" t="str">
        <f t="shared" ca="1" si="20"/>
        <v/>
      </c>
      <c r="J127" s="41"/>
      <c r="K127" s="292" t="str">
        <f t="shared" ca="1" si="21"/>
        <v/>
      </c>
      <c r="L127" s="296">
        <f t="shared" si="22"/>
        <v>0</v>
      </c>
      <c r="M127" s="297"/>
      <c r="N127" s="295"/>
      <c r="O127" s="295"/>
    </row>
    <row r="128" spans="1:15" s="203" customFormat="1" x14ac:dyDescent="0.2">
      <c r="A128" s="289">
        <f t="shared" si="23"/>
        <v>20</v>
      </c>
      <c r="B128" s="290" t="str">
        <f t="shared" si="17"/>
        <v/>
      </c>
      <c r="C128" s="291" t="str">
        <f t="shared" si="16"/>
        <v/>
      </c>
      <c r="D128" s="41"/>
      <c r="E128" s="292" t="str">
        <f t="shared" ca="1" si="18"/>
        <v/>
      </c>
      <c r="F128" s="41"/>
      <c r="G128" s="292" t="str">
        <f t="shared" ca="1" si="19"/>
        <v/>
      </c>
      <c r="H128" s="41"/>
      <c r="I128" s="292" t="str">
        <f t="shared" ca="1" si="20"/>
        <v/>
      </c>
      <c r="J128" s="41"/>
      <c r="K128" s="292" t="str">
        <f t="shared" ca="1" si="21"/>
        <v/>
      </c>
      <c r="L128" s="296">
        <f t="shared" si="22"/>
        <v>0</v>
      </c>
      <c r="M128" s="297"/>
      <c r="N128" s="295"/>
      <c r="O128" s="295"/>
    </row>
    <row r="129" spans="1:15" s="203" customFormat="1" x14ac:dyDescent="0.2">
      <c r="A129" s="289">
        <f t="shared" si="23"/>
        <v>21</v>
      </c>
      <c r="B129" s="290" t="str">
        <f t="shared" si="17"/>
        <v/>
      </c>
      <c r="C129" s="291" t="str">
        <f t="shared" si="16"/>
        <v/>
      </c>
      <c r="D129" s="41"/>
      <c r="E129" s="292" t="str">
        <f t="shared" ca="1" si="18"/>
        <v/>
      </c>
      <c r="F129" s="41"/>
      <c r="G129" s="292" t="str">
        <f t="shared" ca="1" si="19"/>
        <v/>
      </c>
      <c r="H129" s="41"/>
      <c r="I129" s="292" t="str">
        <f t="shared" ca="1" si="20"/>
        <v/>
      </c>
      <c r="J129" s="41"/>
      <c r="K129" s="292" t="str">
        <f t="shared" ca="1" si="21"/>
        <v/>
      </c>
      <c r="L129" s="296">
        <f t="shared" si="22"/>
        <v>0</v>
      </c>
      <c r="M129" s="297"/>
      <c r="N129" s="295"/>
      <c r="O129" s="295"/>
    </row>
    <row r="130" spans="1:15" s="203" customFormat="1" x14ac:dyDescent="0.2">
      <c r="A130" s="289">
        <f t="shared" si="23"/>
        <v>22</v>
      </c>
      <c r="B130" s="290" t="str">
        <f t="shared" si="17"/>
        <v/>
      </c>
      <c r="C130" s="291" t="str">
        <f t="shared" si="16"/>
        <v/>
      </c>
      <c r="D130" s="41"/>
      <c r="E130" s="292" t="str">
        <f t="shared" ca="1" si="18"/>
        <v/>
      </c>
      <c r="F130" s="41"/>
      <c r="G130" s="292" t="str">
        <f t="shared" ca="1" si="19"/>
        <v/>
      </c>
      <c r="H130" s="41"/>
      <c r="I130" s="292" t="str">
        <f t="shared" ca="1" si="20"/>
        <v/>
      </c>
      <c r="J130" s="41"/>
      <c r="K130" s="292" t="str">
        <f t="shared" ca="1" si="21"/>
        <v/>
      </c>
      <c r="L130" s="296">
        <f t="shared" si="22"/>
        <v>0</v>
      </c>
      <c r="M130" s="297"/>
      <c r="N130" s="295"/>
      <c r="O130" s="295"/>
    </row>
    <row r="131" spans="1:15" s="203" customFormat="1" x14ac:dyDescent="0.2">
      <c r="A131" s="289">
        <f t="shared" si="23"/>
        <v>23</v>
      </c>
      <c r="B131" s="290" t="str">
        <f t="shared" si="17"/>
        <v/>
      </c>
      <c r="C131" s="291" t="str">
        <f t="shared" si="16"/>
        <v/>
      </c>
      <c r="D131" s="41"/>
      <c r="E131" s="292" t="str">
        <f t="shared" ca="1" si="18"/>
        <v/>
      </c>
      <c r="F131" s="41"/>
      <c r="G131" s="292" t="str">
        <f t="shared" ca="1" si="19"/>
        <v/>
      </c>
      <c r="H131" s="41"/>
      <c r="I131" s="292" t="str">
        <f t="shared" ca="1" si="20"/>
        <v/>
      </c>
      <c r="J131" s="41"/>
      <c r="K131" s="292" t="str">
        <f t="shared" ca="1" si="21"/>
        <v/>
      </c>
      <c r="L131" s="296">
        <f t="shared" si="22"/>
        <v>0</v>
      </c>
      <c r="M131" s="297"/>
      <c r="N131" s="295"/>
      <c r="O131" s="295"/>
    </row>
    <row r="132" spans="1:15" s="203" customFormat="1" x14ac:dyDescent="0.2">
      <c r="A132" s="289">
        <f t="shared" si="23"/>
        <v>24</v>
      </c>
      <c r="B132" s="290" t="str">
        <f t="shared" si="17"/>
        <v/>
      </c>
      <c r="C132" s="291" t="str">
        <f t="shared" si="16"/>
        <v/>
      </c>
      <c r="D132" s="41"/>
      <c r="E132" s="292" t="str">
        <f t="shared" ca="1" si="18"/>
        <v/>
      </c>
      <c r="F132" s="41"/>
      <c r="G132" s="292" t="str">
        <f t="shared" ca="1" si="19"/>
        <v/>
      </c>
      <c r="H132" s="41"/>
      <c r="I132" s="292" t="str">
        <f t="shared" ca="1" si="20"/>
        <v/>
      </c>
      <c r="J132" s="41"/>
      <c r="K132" s="292" t="str">
        <f t="shared" ca="1" si="21"/>
        <v/>
      </c>
      <c r="L132" s="296">
        <f t="shared" si="22"/>
        <v>0</v>
      </c>
      <c r="M132" s="297"/>
      <c r="N132" s="295"/>
      <c r="O132" s="295"/>
    </row>
    <row r="133" spans="1:15" s="203" customFormat="1" ht="13.5" thickBot="1" x14ac:dyDescent="0.25">
      <c r="A133" s="289">
        <f t="shared" si="23"/>
        <v>25</v>
      </c>
      <c r="B133" s="298" t="str">
        <f t="shared" si="17"/>
        <v/>
      </c>
      <c r="C133" s="299" t="str">
        <f t="shared" si="16"/>
        <v/>
      </c>
      <c r="D133" s="136"/>
      <c r="E133" s="300" t="str">
        <f t="shared" ca="1" si="18"/>
        <v/>
      </c>
      <c r="F133" s="136"/>
      <c r="G133" s="300" t="str">
        <f t="shared" ca="1" si="19"/>
        <v/>
      </c>
      <c r="H133" s="136"/>
      <c r="I133" s="300" t="str">
        <f t="shared" ca="1" si="20"/>
        <v/>
      </c>
      <c r="J133" s="136"/>
      <c r="K133" s="300" t="str">
        <f t="shared" ca="1" si="21"/>
        <v/>
      </c>
      <c r="L133" s="301">
        <f t="shared" si="22"/>
        <v>0</v>
      </c>
      <c r="M133" s="302"/>
      <c r="N133" s="295"/>
      <c r="O133" s="295"/>
    </row>
    <row r="134" spans="1:15" x14ac:dyDescent="0.2">
      <c r="B134" s="229"/>
      <c r="D134" s="303">
        <f>IF((SUM(D109:D133))&gt;0,AVERAGE(D109:D133),0)</f>
        <v>0</v>
      </c>
      <c r="E134" s="233" t="s">
        <v>106</v>
      </c>
    </row>
    <row r="135" spans="1:15" s="360" customFormat="1" ht="15" x14ac:dyDescent="0.2">
      <c r="A135" s="367" t="s">
        <v>322</v>
      </c>
    </row>
    <row r="136" spans="1:15" ht="13.5" thickBot="1" x14ac:dyDescent="0.25"/>
    <row r="137" spans="1:15" ht="17.25" customHeight="1" x14ac:dyDescent="0.25">
      <c r="A137" s="304" t="s">
        <v>264</v>
      </c>
      <c r="B137" s="305" t="s">
        <v>263</v>
      </c>
    </row>
    <row r="138" spans="1:15" ht="13.5" thickBot="1" x14ac:dyDescent="0.25">
      <c r="B138" s="332"/>
      <c r="D138" s="229" t="s">
        <v>267</v>
      </c>
    </row>
    <row r="139" spans="1:15" ht="13.5" thickBot="1" x14ac:dyDescent="0.25">
      <c r="B139" s="220"/>
      <c r="D139" s="229" t="s">
        <v>378</v>
      </c>
    </row>
    <row r="140" spans="1:15" ht="17.25" customHeight="1" x14ac:dyDescent="0.25">
      <c r="A140" s="304" t="s">
        <v>265</v>
      </c>
      <c r="B140" s="305" t="s">
        <v>227</v>
      </c>
      <c r="D140" s="229" t="s">
        <v>268</v>
      </c>
    </row>
    <row r="141" spans="1:15" ht="13.5" thickBot="1" x14ac:dyDescent="0.25">
      <c r="B141" s="332"/>
    </row>
    <row r="142" spans="1:15" ht="13.5" thickBot="1" x14ac:dyDescent="0.25">
      <c r="B142" s="220"/>
    </row>
    <row r="143" spans="1:15" ht="17.25" customHeight="1" x14ac:dyDescent="0.25">
      <c r="A143" s="304" t="s">
        <v>266</v>
      </c>
      <c r="B143" s="305" t="s">
        <v>228</v>
      </c>
    </row>
    <row r="144" spans="1:15" ht="13.5" thickBot="1" x14ac:dyDescent="0.25">
      <c r="B144" s="332"/>
    </row>
  </sheetData>
  <sheetProtection password="F206" sheet="1" objects="1" scenarios="1" formatColumns="0" selectLockedCells="1"/>
  <mergeCells count="28">
    <mergeCell ref="E98:F98"/>
    <mergeCell ref="B96:C96"/>
    <mergeCell ref="E96:G96"/>
    <mergeCell ref="E97:F97"/>
    <mergeCell ref="D88:E88"/>
    <mergeCell ref="F88:G88"/>
    <mergeCell ref="B91:O91"/>
    <mergeCell ref="H86:I88"/>
    <mergeCell ref="D89:E89"/>
    <mergeCell ref="F89:G89"/>
    <mergeCell ref="H89:I89"/>
    <mergeCell ref="B92:O92"/>
    <mergeCell ref="E4:G4"/>
    <mergeCell ref="F34:G34"/>
    <mergeCell ref="D87:E87"/>
    <mergeCell ref="F87:G87"/>
    <mergeCell ref="F52:G52"/>
    <mergeCell ref="D34:E34"/>
    <mergeCell ref="D52:E52"/>
    <mergeCell ref="D86:E86"/>
    <mergeCell ref="F86:G86"/>
    <mergeCell ref="C26:F26"/>
    <mergeCell ref="C27:F27"/>
    <mergeCell ref="L108:M108"/>
    <mergeCell ref="D108:E108"/>
    <mergeCell ref="F108:G108"/>
    <mergeCell ref="H108:I108"/>
    <mergeCell ref="J108:K108"/>
  </mergeCells>
  <phoneticPr fontId="3" type="noConversion"/>
  <conditionalFormatting sqref="D109:D133">
    <cfRule type="expression" dxfId="10" priority="1" stopIfTrue="1">
      <formula>B109=""</formula>
    </cfRule>
  </conditionalFormatting>
  <conditionalFormatting sqref="H109:H133">
    <cfRule type="expression" dxfId="9" priority="2" stopIfTrue="1">
      <formula>B109=""</formula>
    </cfRule>
  </conditionalFormatting>
  <conditionalFormatting sqref="F109:F133">
    <cfRule type="expression" dxfId="8" priority="3" stopIfTrue="1">
      <formula>B109=""</formula>
    </cfRule>
  </conditionalFormatting>
  <conditionalFormatting sqref="J109:J133">
    <cfRule type="expression" dxfId="7" priority="4" stopIfTrue="1">
      <formula>B109=""</formula>
    </cfRule>
  </conditionalFormatting>
  <conditionalFormatting sqref="G35:G49 K109:K133 I35:J35 D16:D17 D22:D23 D19:D20 I36:I49 G53:G62 I109:I133 E109:E133 G109:G133 I53:J62 C14:D14">
    <cfRule type="cellIs" dxfId="6" priority="5" stopIfTrue="1" operator="notEqual">
      <formula>" Ok input"</formula>
    </cfRule>
  </conditionalFormatting>
  <conditionalFormatting sqref="D24">
    <cfRule type="cellIs" dxfId="5" priority="6" stopIfTrue="1" operator="notEqual">
      <formula>" Okay input"</formula>
    </cfRule>
  </conditionalFormatting>
  <conditionalFormatting sqref="C82:N84">
    <cfRule type="cellIs" dxfId="4" priority="7" stopIfTrue="1" operator="notEqual">
      <formula>"Ok input"</formula>
    </cfRule>
  </conditionalFormatting>
  <conditionalFormatting sqref="L109:L133 K35:K62">
    <cfRule type="cellIs" dxfId="3" priority="8" stopIfTrue="1" operator="equal">
      <formula>0</formula>
    </cfRule>
  </conditionalFormatting>
  <dataValidations count="9">
    <dataValidation type="list" allowBlank="1" showInputMessage="1" showErrorMessage="1" sqref="B138">
      <formula1>country</formula1>
    </dataValidation>
    <dataValidation type="list" allowBlank="1" showErrorMessage="1" errorTitle="Wrong selection" error="You have to select one:_x000a_20 foot or 40 foot._x000a_Don't leave it blank." sqref="B141">
      <formula1>"20 foot, 40 foot"</formula1>
    </dataValidation>
    <dataValidation type="list" allowBlank="1" showInputMessage="1" showErrorMessage="1" sqref="B144">
      <formula1>"Sea, Air"</formula1>
    </dataValidation>
    <dataValidation type="list" allowBlank="1" showInputMessage="1" showErrorMessage="1" errorTitle="Wrong input" error="You must input a value between 1.5 and 3._x000a_Select 1.5, 2, 2.5 or 3 from the list" sqref="C23">
      <formula1>"1,1.5,2,2.5"</formula1>
    </dataValidation>
    <dataValidation type="list" allowBlank="1" showInputMessage="1" showErrorMessage="1" sqref="C17">
      <formula1>"January, February, March, April, May, June, July, August, September, October, November, December"</formula1>
    </dataValidation>
    <dataValidation type="list" allowBlank="1" showInputMessage="1" showErrorMessage="1" sqref="B53:B62">
      <formula1>products_dd</formula1>
    </dataValidation>
    <dataValidation type="list" allowBlank="1" showErrorMessage="1" errorTitle="Invalid entry" error="Select only Items from the drop-down list;_x000a_Press cancel to leave the cell blank." sqref="B35:B49">
      <formula1>products_dd</formula1>
    </dataValidation>
    <dataValidation allowBlank="1" showInputMessage="1" promptTitle="Warning:" prompt="You have to state clearly your source of S.A.M. data, otherwise your forecast will be rejected!_x000a_" sqref="C26:F26"/>
    <dataValidation type="date" operator="greaterThanOrEqual" showInputMessage="1" showErrorMessage="1" errorTitle="Error:" error="Input a valid date dd-mm-yy,_x000a_do not leave this cell empty" promptTitle="Warning 2" prompt="Input the date of your S.A.M. data source,_x000a_without it your forecast will also be rejected." sqref="C27:F27">
      <formula1>36526</formula1>
    </dataValidation>
  </dataValidations>
  <pageMargins left="0.23622047244094491" right="0.27559055118110237" top="0.51181102362204722" bottom="0.43307086614173229" header="0.31496062992125984" footer="0.31496062992125984"/>
  <pageSetup paperSize="9" scale="70" orientation="landscape" r:id="rId1"/>
  <headerFooter alignWithMargins="0"/>
  <rowBreaks count="2" manualBreakCount="2">
    <brk id="50" max="16383" man="1"/>
    <brk id="10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67"/>
  <sheetViews>
    <sheetView showGridLines="0" view="pageBreakPreview" zoomScale="90" zoomScaleNormal="100" zoomScaleSheetLayoutView="90" workbookViewId="0"/>
  </sheetViews>
  <sheetFormatPr defaultRowHeight="12.75" x14ac:dyDescent="0.2"/>
  <cols>
    <col min="1" max="1" width="1.85546875" customWidth="1"/>
    <col min="2" max="2" width="36.7109375" customWidth="1"/>
    <col min="3" max="12" width="10.7109375" customWidth="1"/>
    <col min="13" max="13" width="27.42578125" customWidth="1"/>
    <col min="14" max="14" width="13.28515625" customWidth="1"/>
  </cols>
  <sheetData>
    <row r="1" spans="1:16" ht="20.25" x14ac:dyDescent="0.3">
      <c r="A1" s="42" t="s">
        <v>127</v>
      </c>
      <c r="B1" s="43"/>
      <c r="C1" s="43"/>
      <c r="D1" s="43"/>
      <c r="E1" s="43"/>
      <c r="F1" s="43"/>
      <c r="G1" s="43"/>
      <c r="H1" s="43"/>
      <c r="I1" s="43"/>
      <c r="J1" s="43"/>
      <c r="K1" s="43"/>
      <c r="L1" s="43"/>
      <c r="M1" s="43"/>
      <c r="N1" s="43"/>
      <c r="O1" s="8"/>
      <c r="P1" s="8"/>
    </row>
    <row r="2" spans="1:16" ht="21.75" customHeight="1" x14ac:dyDescent="0.2">
      <c r="B2" s="38" t="s">
        <v>129</v>
      </c>
      <c r="C2" s="38"/>
    </row>
    <row r="3" spans="1:16" ht="21.75" customHeight="1" thickBot="1" x14ac:dyDescent="0.25">
      <c r="A3" s="70" t="str">
        <f ca="1">"Estimated admissions for period "&amp;(Input!C69)&amp;" - "&amp;(Input!N69)&amp;", per quarter"</f>
        <v>Estimated admissions for period Jan 2012 - Dec 2012, per quarter</v>
      </c>
      <c r="B3" s="38"/>
      <c r="C3" s="38"/>
    </row>
    <row r="4" spans="1:16" ht="24" customHeight="1" thickBot="1" x14ac:dyDescent="0.25">
      <c r="B4" s="461" t="s">
        <v>97</v>
      </c>
      <c r="C4" s="462"/>
      <c r="D4" s="171" t="str">
        <f ca="1">VLOOKUP('Date Function'!$D$3,Date_Table,2,FALSE)&amp;" - "&amp;VLOOKUP('Date Function'!$D$3+2,Date_Table,2,FALSE) &amp; " " &amp; VLOOKUP('Date Function'!$D$3+2,Date_Table,3,FALSE)</f>
        <v>Jan - Mar 2012</v>
      </c>
      <c r="E4" s="171" t="str">
        <f ca="1">VLOOKUP('Date Function'!$D$3+3,Date_Table,2,FALSE)&amp;" - "&amp;VLOOKUP('Date Function'!$D$3+5,Date_Table,2,FALSE) &amp; " " &amp; VLOOKUP('Date Function'!$D$3+5,Date_Table,3,FALSE)</f>
        <v>Apr - Jun 2012</v>
      </c>
      <c r="F4" s="171" t="str">
        <f ca="1">VLOOKUP('Date Function'!$D$3+6,Date_Table,2,FALSE)&amp;" - "&amp;VLOOKUP('Date Function'!$D$3+8,Date_Table,2,FALSE) &amp; " " &amp; VLOOKUP('Date Function'!$D$3+8,Date_Table,3,FALSE)</f>
        <v>Jul - Sep 2012</v>
      </c>
      <c r="G4" s="171" t="str">
        <f ca="1">VLOOKUP('Date Function'!$D$3+9,Date_Table,2,FALSE)&amp;" - "&amp;VLOOKUP('Date Function'!$D$3+11,Date_Table,2,FALSE) &amp; " " &amp; VLOOKUP('Date Function'!$D$3+11,Date_Table,3,FALSE)</f>
        <v>Oct - Dec 2012</v>
      </c>
      <c r="H4" s="172" t="s">
        <v>98</v>
      </c>
    </row>
    <row r="5" spans="1:16" x14ac:dyDescent="0.2">
      <c r="B5" s="60" t="s">
        <v>138</v>
      </c>
      <c r="C5" s="61" t="s">
        <v>368</v>
      </c>
      <c r="D5" s="63">
        <f>SUM(Input!C71:E71)</f>
        <v>0</v>
      </c>
      <c r="E5" s="63">
        <f>SUM(Input!F71:H71)</f>
        <v>0</v>
      </c>
      <c r="F5" s="63">
        <f>SUM(Input!I71:K71)</f>
        <v>0</v>
      </c>
      <c r="G5" s="63">
        <f>SUM(Input!L71:N71)</f>
        <v>0</v>
      </c>
      <c r="H5" s="66">
        <f>SUM(D5:G5)</f>
        <v>0</v>
      </c>
      <c r="I5" s="62"/>
    </row>
    <row r="6" spans="1:16" x14ac:dyDescent="0.2">
      <c r="B6" s="29"/>
      <c r="C6" s="55" t="s">
        <v>369</v>
      </c>
      <c r="D6" s="64">
        <f>SUM(Input!C72:E72)</f>
        <v>0</v>
      </c>
      <c r="E6" s="64">
        <f>SUM(Input!F72:H72)</f>
        <v>0</v>
      </c>
      <c r="F6" s="64">
        <f>SUM(Input!I72:K72)</f>
        <v>0</v>
      </c>
      <c r="G6" s="64">
        <f>SUM(Input!L72:N72)</f>
        <v>0</v>
      </c>
      <c r="H6" s="67">
        <f>SUM(D6:G6)</f>
        <v>0</v>
      </c>
      <c r="I6" s="62"/>
    </row>
    <row r="7" spans="1:16" x14ac:dyDescent="0.2">
      <c r="B7" s="59" t="s">
        <v>139</v>
      </c>
      <c r="C7" s="53" t="s">
        <v>368</v>
      </c>
      <c r="D7" s="54">
        <f>SUM(Input!C76:E76)</f>
        <v>0</v>
      </c>
      <c r="E7" s="54">
        <f>SUM(Input!F76:H76)</f>
        <v>0</v>
      </c>
      <c r="F7" s="54">
        <f>SUM(Input!I76:K76)</f>
        <v>0</v>
      </c>
      <c r="G7" s="54">
        <f>SUM(Input!L76:N76)</f>
        <v>0</v>
      </c>
      <c r="H7" s="68">
        <f>SUM(D7:G7)</f>
        <v>0</v>
      </c>
      <c r="I7" s="62"/>
    </row>
    <row r="8" spans="1:16" ht="13.5" thickBot="1" x14ac:dyDescent="0.25">
      <c r="B8" s="58"/>
      <c r="C8" s="56" t="s">
        <v>369</v>
      </c>
      <c r="D8" s="57">
        <f>SUM(Input!C77:E77)</f>
        <v>0</v>
      </c>
      <c r="E8" s="57">
        <f>SUM(Input!F77:H77)</f>
        <v>0</v>
      </c>
      <c r="F8" s="57">
        <f>SUM(Input!I77:K77)</f>
        <v>0</v>
      </c>
      <c r="G8" s="57">
        <f>SUM(Input!L77:N77)</f>
        <v>0</v>
      </c>
      <c r="H8" s="69">
        <f>SUM(D8:G8)</f>
        <v>0</v>
      </c>
      <c r="I8" s="62"/>
    </row>
    <row r="9" spans="1:16" x14ac:dyDescent="0.2">
      <c r="B9" s="463" t="s">
        <v>124</v>
      </c>
      <c r="C9" s="463"/>
      <c r="D9" s="65">
        <f>SUM(D5:D8)</f>
        <v>0</v>
      </c>
      <c r="E9" s="65">
        <f>SUM(E5:E8)</f>
        <v>0</v>
      </c>
      <c r="F9" s="65">
        <f>SUM(F5:F8)</f>
        <v>0</v>
      </c>
      <c r="G9" s="65">
        <f>SUM(G5:G8)</f>
        <v>0</v>
      </c>
      <c r="H9" s="65">
        <f>SUM(D9:G9)</f>
        <v>0</v>
      </c>
    </row>
    <row r="11" spans="1:16" ht="16.5" customHeight="1" x14ac:dyDescent="0.2">
      <c r="A11" s="44" t="s">
        <v>147</v>
      </c>
    </row>
    <row r="12" spans="1:16" ht="21" customHeight="1" thickBot="1" x14ac:dyDescent="0.3">
      <c r="B12" s="86" t="s">
        <v>370</v>
      </c>
      <c r="C12" s="44"/>
      <c r="D12" s="8"/>
      <c r="E12" s="8"/>
      <c r="F12" s="8"/>
      <c r="G12" s="8"/>
      <c r="H12" s="8"/>
    </row>
    <row r="13" spans="1:16" ht="26.25" customHeight="1" thickBot="1" x14ac:dyDescent="0.25">
      <c r="B13" s="173" t="s">
        <v>90</v>
      </c>
      <c r="C13" s="174" t="s">
        <v>23</v>
      </c>
      <c r="D13" s="171" t="str">
        <f ca="1">D4</f>
        <v>Jan - Mar 2012</v>
      </c>
      <c r="E13" s="171" t="str">
        <f ca="1">E4</f>
        <v>Apr - Jun 2012</v>
      </c>
      <c r="F13" s="171" t="str">
        <f ca="1">F4</f>
        <v>Jul - Sep 2012</v>
      </c>
      <c r="G13" s="175" t="str">
        <f ca="1">G4</f>
        <v>Oct - Dec 2012</v>
      </c>
      <c r="H13" s="172" t="s">
        <v>98</v>
      </c>
      <c r="I13" s="47" t="s">
        <v>130</v>
      </c>
    </row>
    <row r="14" spans="1:16" x14ac:dyDescent="0.2">
      <c r="B14" s="75" t="str">
        <f>IF(ISBLANK(Input!B35),"",Input!B35)</f>
        <v>ReSoMal, 42g sachet/1L/CAR-100</v>
      </c>
      <c r="C14" s="71" t="str">
        <f t="shared" ref="C14:C28" si="0">IF(B14="","",INDEX(products_all,MATCH(B14,products_dd,0),2))</f>
        <v>CAR-100</v>
      </c>
      <c r="D14" s="72">
        <f>IF(B14="",0,((Input!F35+Input!F35*Input!H35)*($D$5+$D$7))/I14)</f>
        <v>0</v>
      </c>
      <c r="E14" s="72">
        <f>IF(B14="",0,((Input!F35+Input!F35*Input!H35)*($E$5+$E$7))/I14)</f>
        <v>0</v>
      </c>
      <c r="F14" s="72">
        <f>IF(B14="",0,((Input!F35+Input!F35*Input!H35)*($F$5+$F$7))/I14)</f>
        <v>0</v>
      </c>
      <c r="G14" s="72">
        <f>IF(B14="",0,((Input!F35+Input!F35*Input!H35)*($G$5+$G$7))/I14)</f>
        <v>0</v>
      </c>
      <c r="H14" s="76">
        <f>SUM(D14:G14)</f>
        <v>0</v>
      </c>
      <c r="I14" s="48">
        <f>IF(B14="","",INDEX(products_all,MATCH(B14,products_dd,0),5))</f>
        <v>100</v>
      </c>
    </row>
    <row r="15" spans="1:16" x14ac:dyDescent="0.2">
      <c r="B15" s="77" t="str">
        <f>IF(ISBLANK(Input!B36),"",Input!B36)</f>
        <v>F75 Therapeutic diet, sachet 102.5g/CAR-120</v>
      </c>
      <c r="C15" s="73" t="str">
        <f t="shared" si="0"/>
        <v>CAR-120</v>
      </c>
      <c r="D15" s="74">
        <f>IF(B15="",0,((Input!F36+Input!F36*Input!H36)*($D$5+$D$7))/I15)</f>
        <v>0</v>
      </c>
      <c r="E15" s="74">
        <f>IF(B15="",0,((Input!F36+Input!F36*Input!H36)*($E$5+$E$7))/I15)</f>
        <v>0</v>
      </c>
      <c r="F15" s="74">
        <f>IF(B15="",0,((Input!F36+Input!F36*Input!H36)*($F$5+$F$7))/I15)</f>
        <v>0</v>
      </c>
      <c r="G15" s="74">
        <f>IF(B15="",0,((Input!F36+Input!F36*Input!H36)*($G$5+$G$7))/I15)</f>
        <v>0</v>
      </c>
      <c r="H15" s="78">
        <f t="shared" ref="H15:H28" si="1">SUM(D15:G15)</f>
        <v>0</v>
      </c>
      <c r="I15" s="48">
        <f t="shared" ref="I15:I28" si="2">IF(B15="","",INDEX(products_all,MATCH(B15,products_dd,0),5))</f>
        <v>120</v>
      </c>
    </row>
    <row r="16" spans="1:16" x14ac:dyDescent="0.2">
      <c r="B16" s="77" t="str">
        <f>IF(ISBLANK(Input!B37),"",Input!B37)</f>
        <v>F100 Therapeutic diet, sachet 114g/CAR-90</v>
      </c>
      <c r="C16" s="73" t="str">
        <f t="shared" si="0"/>
        <v>CAR-90</v>
      </c>
      <c r="D16" s="74">
        <f>IF(B16="",0,((Input!F37+Input!F37*Input!H37)*($D$5+$D$7))/I16)</f>
        <v>0</v>
      </c>
      <c r="E16" s="74">
        <f>IF(B16="",0,((Input!F37+Input!F37*Input!H37)*($E$5+$E$7))/I16)</f>
        <v>0</v>
      </c>
      <c r="F16" s="74">
        <f>IF(B16="",0,((Input!F37+Input!F37*Input!H37)*($F$5+$F$7))/I16)</f>
        <v>0</v>
      </c>
      <c r="G16" s="74">
        <f>IF(B16="",0,((Input!F37+Input!F37*Input!H37)*($G$5+$G$7))/I16)</f>
        <v>0</v>
      </c>
      <c r="H16" s="78">
        <f t="shared" si="1"/>
        <v>0</v>
      </c>
      <c r="I16" s="48">
        <f t="shared" si="2"/>
        <v>90</v>
      </c>
    </row>
    <row r="17" spans="2:9" x14ac:dyDescent="0.2">
      <c r="B17" s="77" t="str">
        <f>IF(ISBLANK(Input!B38),"",Input!B38)</f>
        <v>Folic acid 5mg tabs/PAC-1000</v>
      </c>
      <c r="C17" s="73" t="str">
        <f t="shared" si="0"/>
        <v>PAC-1000</v>
      </c>
      <c r="D17" s="74">
        <f>IF(B17="",0,((Input!F38+Input!F38*Input!H38)*($D$5+$D$7))/I17)</f>
        <v>0</v>
      </c>
      <c r="E17" s="74">
        <f>IF(B17="",0,((Input!F38+Input!F38*Input!H38)*($E$5+$E$7))/I17)</f>
        <v>0</v>
      </c>
      <c r="F17" s="74">
        <f>IF(B17="",0,((Input!F38+Input!F38*Input!H38)*($F$5+$F$7))/I17)</f>
        <v>0</v>
      </c>
      <c r="G17" s="74">
        <f>IF(B17="",0,((Input!F38+Input!F38*Input!H38)*($G$5+$G$7))/I17)</f>
        <v>0</v>
      </c>
      <c r="H17" s="78">
        <f t="shared" si="1"/>
        <v>0</v>
      </c>
      <c r="I17" s="48">
        <f t="shared" si="2"/>
        <v>1000</v>
      </c>
    </row>
    <row r="18" spans="2:9" x14ac:dyDescent="0.2">
      <c r="B18" s="77" t="str">
        <f>IF(ISBLANK(Input!B39),"",Input!B39)</f>
        <v>Therapeutic spread, sachet 92g/CAR-150</v>
      </c>
      <c r="C18" s="73" t="str">
        <f t="shared" si="0"/>
        <v>CAR-150</v>
      </c>
      <c r="D18" s="74">
        <f>IF(B18="",0,((Input!F39+Input!F39*Input!H39)*($D$5+$D$7))/I18)</f>
        <v>0</v>
      </c>
      <c r="E18" s="74">
        <f>IF(B18="",0,((Input!F39+Input!F39*Input!H39)*($E$5+$E$7))/I18)</f>
        <v>0</v>
      </c>
      <c r="F18" s="74">
        <f>IF(B18="",0,((Input!F39+Input!F39*Input!H39)*($F$5+$F$7))/I18)</f>
        <v>0</v>
      </c>
      <c r="G18" s="74">
        <f>IF(B18="",0,((Input!F39+Input!F39*Input!H39)*($G$5+$G$7))/I18)</f>
        <v>0</v>
      </c>
      <c r="H18" s="78">
        <f t="shared" si="1"/>
        <v>0</v>
      </c>
      <c r="I18" s="48">
        <f t="shared" si="2"/>
        <v>150</v>
      </c>
    </row>
    <row r="19" spans="2:9" x14ac:dyDescent="0.2">
      <c r="B19" s="77" t="str">
        <f>IF(ISBLANK(Input!B40),"",Input!B40)</f>
        <v>Retinol 100,000IU soft gel.caps/PAC-500</v>
      </c>
      <c r="C19" s="73" t="str">
        <f t="shared" si="0"/>
        <v>PAC-500</v>
      </c>
      <c r="D19" s="74">
        <f>IF(B19="",0,((Input!F40+Input!F40*Input!H40)*($D$5+$D$7))/I19)</f>
        <v>0</v>
      </c>
      <c r="E19" s="74">
        <f>IF(B19="",0,((Input!F40+Input!F40*Input!H40)*($E$5+$E$7))/I19)</f>
        <v>0</v>
      </c>
      <c r="F19" s="74">
        <f>IF(B19="",0,((Input!F40+Input!F40*Input!H40)*($F$5+$F$7))/I19)</f>
        <v>0</v>
      </c>
      <c r="G19" s="74">
        <f>IF(B19="",0,((Input!F40+Input!F40*Input!H40)*($G$5+$G$7))/I19)</f>
        <v>0</v>
      </c>
      <c r="H19" s="78">
        <f t="shared" si="1"/>
        <v>0</v>
      </c>
      <c r="I19" s="48">
        <f t="shared" si="2"/>
        <v>500</v>
      </c>
    </row>
    <row r="20" spans="2:9" x14ac:dyDescent="0.2">
      <c r="B20" s="77" t="str">
        <f>IF(ISBLANK(Input!B41),"",Input!B41)</f>
        <v>Retinol 200,000IU soft gel.caps/PAC-500</v>
      </c>
      <c r="C20" s="73" t="str">
        <f t="shared" si="0"/>
        <v>PAC-500</v>
      </c>
      <c r="D20" s="74">
        <f>IF(B20="",0,((Input!F41+Input!F41*Input!H41)*($D$5+$D$7))/I20)</f>
        <v>0</v>
      </c>
      <c r="E20" s="74">
        <f>IF(B20="",0,((Input!F41+Input!F41*Input!H41)*($E$5+$E$7))/I20)</f>
        <v>0</v>
      </c>
      <c r="F20" s="74">
        <f>IF(B20="",0,((Input!F41+Input!F41*Input!H41)*($F$5+$F$7))/I20)</f>
        <v>0</v>
      </c>
      <c r="G20" s="74">
        <f>IF(B20="",0,((Input!F41+Input!F41*Input!H41)*($G$5+$G$7))/I20)</f>
        <v>0</v>
      </c>
      <c r="H20" s="78">
        <f t="shared" si="1"/>
        <v>0</v>
      </c>
      <c r="I20" s="48">
        <f t="shared" si="2"/>
        <v>500</v>
      </c>
    </row>
    <row r="21" spans="2:9" x14ac:dyDescent="0.2">
      <c r="B21" s="77" t="str">
        <f>IF(ISBLANK(Input!B42),"",Input!B42)</f>
        <v>BP100 Therapeutic diet/CAR-9x24x56.8g</v>
      </c>
      <c r="C21" s="73" t="str">
        <f t="shared" si="0"/>
        <v>CAR-9x24</v>
      </c>
      <c r="D21" s="74">
        <f>IF(B21="",0,((Input!F42+Input!F42*Input!H42)*($D$5+$D$7))/I21)</f>
        <v>0</v>
      </c>
      <c r="E21" s="74">
        <f>IF(B21="",0,((Input!F42+Input!F42*Input!H42)*($E$5+$E$7))/I21)</f>
        <v>0</v>
      </c>
      <c r="F21" s="74">
        <f>IF(B21="",0,((Input!F42+Input!F42*Input!H42)*($F$5+$F$7))/I21)</f>
        <v>0</v>
      </c>
      <c r="G21" s="74">
        <f>IF(B21="",0,((Input!F42+Input!F42*Input!H42)*($G$5+$G$7))/I21)</f>
        <v>0</v>
      </c>
      <c r="H21" s="78">
        <f t="shared" si="1"/>
        <v>0</v>
      </c>
      <c r="I21" s="48">
        <f t="shared" si="2"/>
        <v>216</v>
      </c>
    </row>
    <row r="22" spans="2:9" x14ac:dyDescent="0.2">
      <c r="B22" s="77" t="str">
        <f>IF(ISBLANK(Input!B43),"",Input!B43)</f>
        <v>Mebendazole 500 mg tabs/PAC-100</v>
      </c>
      <c r="C22" s="73" t="str">
        <f t="shared" si="0"/>
        <v>PAC-100</v>
      </c>
      <c r="D22" s="74">
        <f>IF(B22="",0,((Input!F43+Input!F43*Input!H43)*($D$5+$D$7))/I22)</f>
        <v>0</v>
      </c>
      <c r="E22" s="74">
        <f>IF(B22="",0,((Input!F43+Input!F43*Input!H43)*($E$5+$E$7))/I22)</f>
        <v>0</v>
      </c>
      <c r="F22" s="74">
        <f>IF(B22="",0,((Input!F43+Input!F43*Input!H43)*($F$5+$F$7))/I22)</f>
        <v>0</v>
      </c>
      <c r="G22" s="74">
        <f>IF(B22="",0,((Input!F43+Input!F43*Input!H43)*($G$5+$G$7))/I22)</f>
        <v>0</v>
      </c>
      <c r="H22" s="78">
        <f t="shared" si="1"/>
        <v>0</v>
      </c>
      <c r="I22" s="48">
        <f t="shared" si="2"/>
        <v>100</v>
      </c>
    </row>
    <row r="23" spans="2:9" x14ac:dyDescent="0.2">
      <c r="B23" s="77" t="str">
        <f>IF(ISBLANK(Input!B44),"",Input!B44)</f>
        <v/>
      </c>
      <c r="C23" s="73" t="str">
        <f t="shared" si="0"/>
        <v/>
      </c>
      <c r="D23" s="74">
        <f>IF(B23="",0,((Input!F44+Input!F44*Input!H44)*($D$5+$D$7))/I23)</f>
        <v>0</v>
      </c>
      <c r="E23" s="74">
        <f>IF(B23="",0,((Input!F44+Input!F44*Input!H44)*($E$5+$E$7))/I23)</f>
        <v>0</v>
      </c>
      <c r="F23" s="74">
        <f>IF(B23="",0,((Input!F44+Input!F44*Input!H44)*($F$5+$F$7))/I23)</f>
        <v>0</v>
      </c>
      <c r="G23" s="74">
        <f>IF(B23="",0,((Input!F44+Input!F44*Input!H44)*($G$5+$G$7))/I23)</f>
        <v>0</v>
      </c>
      <c r="H23" s="78">
        <f t="shared" si="1"/>
        <v>0</v>
      </c>
      <c r="I23" s="48" t="str">
        <f t="shared" si="2"/>
        <v/>
      </c>
    </row>
    <row r="24" spans="2:9" x14ac:dyDescent="0.2">
      <c r="B24" s="77" t="str">
        <f>IF(ISBLANK(Input!B45),"",Input!B45)</f>
        <v/>
      </c>
      <c r="C24" s="73" t="str">
        <f t="shared" si="0"/>
        <v/>
      </c>
      <c r="D24" s="74">
        <f>IF(B24="",0,((Input!F45+Input!F45*Input!H45)*($D$5+$D$7))/I24)</f>
        <v>0</v>
      </c>
      <c r="E24" s="74">
        <f>IF(B24="",0,((Input!F45+Input!F45*Input!H45)*($E$5+$E$7))/I24)</f>
        <v>0</v>
      </c>
      <c r="F24" s="74">
        <f>IF(B24="",0,((Input!F45+Input!F45*Input!H45)*($F$5+$F$7))/I24)</f>
        <v>0</v>
      </c>
      <c r="G24" s="74">
        <f>IF(B24="",0,((Input!F45+Input!F45*Input!H45)*($G$5+$G$7))/I24)</f>
        <v>0</v>
      </c>
      <c r="H24" s="78">
        <f t="shared" si="1"/>
        <v>0</v>
      </c>
      <c r="I24" s="48" t="str">
        <f t="shared" si="2"/>
        <v/>
      </c>
    </row>
    <row r="25" spans="2:9" x14ac:dyDescent="0.2">
      <c r="B25" s="77" t="str">
        <f>IF(ISBLANK(Input!B46),"",Input!B46)</f>
        <v/>
      </c>
      <c r="C25" s="73" t="str">
        <f t="shared" si="0"/>
        <v/>
      </c>
      <c r="D25" s="74">
        <f>IF(B25="",0,((Input!F46+Input!F46*Input!H46)*($D$5+$D$7))/I25)</f>
        <v>0</v>
      </c>
      <c r="E25" s="74">
        <f>IF(B25="",0,((Input!F46+Input!F46*Input!H46)*($E$5+$E$7))/I25)</f>
        <v>0</v>
      </c>
      <c r="F25" s="74">
        <f>IF(B25="",0,((Input!F46+Input!F46*Input!H46)*($F$5+$F$7))/I25)</f>
        <v>0</v>
      </c>
      <c r="G25" s="74">
        <f>IF(B25="",0,((Input!F46+Input!F46*Input!H46)*($G$5+$G$7))/I25)</f>
        <v>0</v>
      </c>
      <c r="H25" s="78">
        <f t="shared" si="1"/>
        <v>0</v>
      </c>
      <c r="I25" s="48" t="str">
        <f t="shared" si="2"/>
        <v/>
      </c>
    </row>
    <row r="26" spans="2:9" x14ac:dyDescent="0.2">
      <c r="B26" s="77" t="str">
        <f>IF(ISBLANK(Input!B47),"",Input!B47)</f>
        <v/>
      </c>
      <c r="C26" s="73" t="str">
        <f t="shared" si="0"/>
        <v/>
      </c>
      <c r="D26" s="74">
        <f>IF(B26="",0,((Input!F47+Input!F47*Input!H47)*($D$5+$D$7))/I26)</f>
        <v>0</v>
      </c>
      <c r="E26" s="74">
        <f>IF(B26="",0,((Input!F47+Input!F47*Input!H47)*($E$5+$E$7))/I26)</f>
        <v>0</v>
      </c>
      <c r="F26" s="74">
        <f>IF(B26="",0,((Input!F47+Input!F47*Input!H47)*($F$5+$F$7))/I26)</f>
        <v>0</v>
      </c>
      <c r="G26" s="74">
        <f>IF(B26="",0,((Input!F47+Input!F47*Input!H47)*($G$5+$G$7))/I26)</f>
        <v>0</v>
      </c>
      <c r="H26" s="78">
        <f t="shared" si="1"/>
        <v>0</v>
      </c>
      <c r="I26" s="48" t="str">
        <f t="shared" si="2"/>
        <v/>
      </c>
    </row>
    <row r="27" spans="2:9" x14ac:dyDescent="0.2">
      <c r="B27" s="77" t="str">
        <f>IF(ISBLANK(Input!B48),"",Input!B48)</f>
        <v/>
      </c>
      <c r="C27" s="73" t="str">
        <f t="shared" si="0"/>
        <v/>
      </c>
      <c r="D27" s="74">
        <f>IF(B27="",0,((Input!F48+Input!F48*Input!H48)*($D$5+$D$7))/I27)</f>
        <v>0</v>
      </c>
      <c r="E27" s="74">
        <f>IF(B27="",0,((Input!F48+Input!F48*Input!H48)*($E$5+$E$7))/I27)</f>
        <v>0</v>
      </c>
      <c r="F27" s="74">
        <f>IF(B27="",0,((Input!F48+Input!F48*Input!H48)*($F$5+$F$7))/I27)</f>
        <v>0</v>
      </c>
      <c r="G27" s="74">
        <f>IF(B27="",0,((Input!F48+Input!F48*Input!H48)*($G$5+$G$7))/I27)</f>
        <v>0</v>
      </c>
      <c r="H27" s="78">
        <f t="shared" si="1"/>
        <v>0</v>
      </c>
      <c r="I27" s="48" t="str">
        <f t="shared" si="2"/>
        <v/>
      </c>
    </row>
    <row r="28" spans="2:9" ht="13.5" thickBot="1" x14ac:dyDescent="0.25">
      <c r="B28" s="79" t="str">
        <f>IF(ISBLANK(Input!B49),"",Input!B49)</f>
        <v/>
      </c>
      <c r="C28" s="80" t="str">
        <f t="shared" si="0"/>
        <v/>
      </c>
      <c r="D28" s="81">
        <f>IF(B28="",0,((Input!F49+Input!F49*Input!H49)*($D$5+$D$7))/I28)</f>
        <v>0</v>
      </c>
      <c r="E28" s="81">
        <f>IF(B28="",0,((Input!F49+Input!F49*Input!H49)*($E$5+$E$7))/I28)</f>
        <v>0</v>
      </c>
      <c r="F28" s="81">
        <f>IF(B28="",0,((Input!F49+Input!F49*Input!H49)*($F$5+$F$7))/I28)</f>
        <v>0</v>
      </c>
      <c r="G28" s="81">
        <f>IF(B28="",0,((Input!F49+Input!F49*Input!H49)*($G$5+$G$7))/I28)</f>
        <v>0</v>
      </c>
      <c r="H28" s="82">
        <f t="shared" si="1"/>
        <v>0</v>
      </c>
      <c r="I28" s="48" t="str">
        <f t="shared" si="2"/>
        <v/>
      </c>
    </row>
    <row r="29" spans="2:9" x14ac:dyDescent="0.2">
      <c r="I29" s="48"/>
    </row>
    <row r="30" spans="2:9" ht="15.75" thickBot="1" x14ac:dyDescent="0.25">
      <c r="B30" s="44" t="s">
        <v>371</v>
      </c>
      <c r="C30" s="44"/>
      <c r="D30" s="8"/>
      <c r="E30" s="8"/>
      <c r="F30" s="8"/>
      <c r="G30" s="8"/>
      <c r="H30" s="8"/>
      <c r="I30" s="48"/>
    </row>
    <row r="31" spans="2:9" ht="24" customHeight="1" thickBot="1" x14ac:dyDescent="0.25">
      <c r="B31" s="173" t="s">
        <v>90</v>
      </c>
      <c r="C31" s="174" t="s">
        <v>23</v>
      </c>
      <c r="D31" s="171" t="str">
        <f ca="1">D4</f>
        <v>Jan - Mar 2012</v>
      </c>
      <c r="E31" s="171" t="str">
        <f ca="1">E4</f>
        <v>Apr - Jun 2012</v>
      </c>
      <c r="F31" s="171" t="str">
        <f ca="1">F4</f>
        <v>Jul - Sep 2012</v>
      </c>
      <c r="G31" s="171" t="str">
        <f ca="1">G4</f>
        <v>Oct - Dec 2012</v>
      </c>
      <c r="H31" s="176" t="s">
        <v>98</v>
      </c>
      <c r="I31" s="47" t="s">
        <v>130</v>
      </c>
    </row>
    <row r="32" spans="2:9" x14ac:dyDescent="0.2">
      <c r="B32" s="75" t="str">
        <f>IF(ISBLANK(Input!B53),"",Input!B53)</f>
        <v>Therapeutic spread, sachet 92g/CAR-150</v>
      </c>
      <c r="C32" s="71" t="str">
        <f t="shared" ref="C32:C41" si="3">IF(B32="","",INDEX(products_all,MATCH(B32,products_dd,0),2))</f>
        <v>CAR-150</v>
      </c>
      <c r="D32" s="72">
        <f>IF(B32="",0,((Input!F53+Input!F53*Input!H53)*($D$6+$D$8))/I32)</f>
        <v>0</v>
      </c>
      <c r="E32" s="72">
        <f>IF(B32="",0,((Input!F53+Input!F53*Input!H53)*($E$6+$E$8))/I32)</f>
        <v>0</v>
      </c>
      <c r="F32" s="72">
        <f>IF(B32="",0,((Input!F53+Input!F53*Input!H53)*($F$6+$F$8))/I32)</f>
        <v>0</v>
      </c>
      <c r="G32" s="72">
        <f>IF(B32="",0,((Input!F53+Input!F53*Input!H53)*($G$6+$G$8))/I32)</f>
        <v>0</v>
      </c>
      <c r="H32" s="76">
        <f>SUM(D32:G32)</f>
        <v>0</v>
      </c>
      <c r="I32" s="48">
        <f t="shared" ref="I32:I41" si="4">IF(B32="","",INDEX(products_all,MATCH(B32,products_dd,0),5))</f>
        <v>150</v>
      </c>
    </row>
    <row r="33" spans="2:9" x14ac:dyDescent="0.2">
      <c r="B33" s="77" t="str">
        <f>IF(ISBLANK(Input!B54),"",Input!B54)</f>
        <v>Retinol 100,000IU soft gel.caps/PAC-500</v>
      </c>
      <c r="C33" s="73" t="str">
        <f t="shared" si="3"/>
        <v>PAC-500</v>
      </c>
      <c r="D33" s="74">
        <f>IF(B33="",0,((Input!F54+Input!F54*Input!H54)*($D$6+$D$8))/I33)</f>
        <v>0</v>
      </c>
      <c r="E33" s="74">
        <f>IF(B33="",0,((Input!F54+Input!F54*Input!H54)*($E$6+$E$8))/I33)</f>
        <v>0</v>
      </c>
      <c r="F33" s="74">
        <f>IF(B33="",0,((Input!F54+Input!F54*Input!H54)*($F$6+$F$8))/I33)</f>
        <v>0</v>
      </c>
      <c r="G33" s="74">
        <f>IF(B33="",0,((Input!F54+Input!F54*Input!H54)*($G$6+$G$8))/I33)</f>
        <v>0</v>
      </c>
      <c r="H33" s="78">
        <f t="shared" ref="H33:H41" si="5">SUM(D33:G33)</f>
        <v>0</v>
      </c>
      <c r="I33" s="48">
        <f t="shared" si="4"/>
        <v>500</v>
      </c>
    </row>
    <row r="34" spans="2:9" x14ac:dyDescent="0.2">
      <c r="B34" s="77" t="str">
        <f>IF(ISBLANK(Input!B55),"",Input!B55)</f>
        <v>Retinol 200,000IU soft gel.caps/PAC-500</v>
      </c>
      <c r="C34" s="73" t="str">
        <f t="shared" si="3"/>
        <v>PAC-500</v>
      </c>
      <c r="D34" s="74">
        <f>IF(B34="",0,((Input!F55+Input!F55*Input!H55)*($D$6+$D$8))/I34)</f>
        <v>0</v>
      </c>
      <c r="E34" s="74">
        <f>IF(B34="",0,((Input!F55+Input!F55*Input!H55)*($E$6+$E$8))/I34)</f>
        <v>0</v>
      </c>
      <c r="F34" s="74">
        <f>IF(B34="",0,((Input!F55+Input!F55*Input!H55)*($F$6+$F$8))/I34)</f>
        <v>0</v>
      </c>
      <c r="G34" s="74">
        <f>IF(B34="",0,((Input!F55+Input!F55*Input!H55)*($G$6+$G$8))/I34)</f>
        <v>0</v>
      </c>
      <c r="H34" s="78">
        <f t="shared" si="5"/>
        <v>0</v>
      </c>
      <c r="I34" s="48">
        <f t="shared" si="4"/>
        <v>500</v>
      </c>
    </row>
    <row r="35" spans="2:9" x14ac:dyDescent="0.2">
      <c r="B35" s="77" t="str">
        <f>IF(ISBLANK(Input!B56),"",Input!B56)</f>
        <v>Amoxici.pdr/oral sus 125mg/5ml/BOT-100ml</v>
      </c>
      <c r="C35" s="73" t="str">
        <f t="shared" si="3"/>
        <v>BOT-100ml</v>
      </c>
      <c r="D35" s="74">
        <f>IF(B35="",0,((Input!F56+Input!F56*Input!H56)*($D$6+$D$8))/I35)</f>
        <v>0</v>
      </c>
      <c r="E35" s="74">
        <f>IF(B35="",0,((Input!F56+Input!F56*Input!H56)*($E$6+$E$8))/I35)</f>
        <v>0</v>
      </c>
      <c r="F35" s="74">
        <f>IF(B35="",0,((Input!F56+Input!F56*Input!H56)*($F$6+$F$8))/I35)</f>
        <v>0</v>
      </c>
      <c r="G35" s="74">
        <f>IF(B35="",0,((Input!F56+Input!F56*Input!H56)*($G$6+$G$8))/I35)</f>
        <v>0</v>
      </c>
      <c r="H35" s="78">
        <f t="shared" si="5"/>
        <v>0</v>
      </c>
      <c r="I35" s="48">
        <f t="shared" si="4"/>
        <v>1</v>
      </c>
    </row>
    <row r="36" spans="2:9" x14ac:dyDescent="0.2">
      <c r="B36" s="77" t="str">
        <f>IF(ISBLANK(Input!B57),"",Input!B57)</f>
        <v>Mebendazole 500 mg tabs/PAC-100</v>
      </c>
      <c r="C36" s="73" t="str">
        <f t="shared" si="3"/>
        <v>PAC-100</v>
      </c>
      <c r="D36" s="74">
        <f>IF(B36="",0,((Input!F57+Input!F57*Input!H57)*($D$6+$D$8))/I36)</f>
        <v>0</v>
      </c>
      <c r="E36" s="74">
        <f>IF(B36="",0,((Input!F57+Input!F57*Input!H57)*($E$6+$E$8))/I36)</f>
        <v>0</v>
      </c>
      <c r="F36" s="74">
        <f>IF(B36="",0,((Input!F57+Input!F57*Input!H57)*($F$6+$F$8))/I36)</f>
        <v>0</v>
      </c>
      <c r="G36" s="74">
        <f>IF(B36="",0,((Input!F57+Input!F57*Input!H57)*($G$6+$G$8))/I36)</f>
        <v>0</v>
      </c>
      <c r="H36" s="78">
        <f t="shared" si="5"/>
        <v>0</v>
      </c>
      <c r="I36" s="48">
        <f t="shared" si="4"/>
        <v>100</v>
      </c>
    </row>
    <row r="37" spans="2:9" x14ac:dyDescent="0.2">
      <c r="B37" s="77" t="str">
        <f>IF(ISBLANK(Input!B58),"",Input!B58)</f>
        <v/>
      </c>
      <c r="C37" s="73" t="str">
        <f t="shared" si="3"/>
        <v/>
      </c>
      <c r="D37" s="74">
        <f>IF(B37="",0,((Input!F58+Input!F58*Input!H58)*($D$6+$D$8))/I37)</f>
        <v>0</v>
      </c>
      <c r="E37" s="74">
        <f>IF(B37="",0,((Input!F58+Input!F58*Input!H58)*($E$6+$E$8))/I37)</f>
        <v>0</v>
      </c>
      <c r="F37" s="74">
        <f>IF(B37="",0,((Input!F58+Input!F58*Input!H58)*($F$6+$F$8))/I37)</f>
        <v>0</v>
      </c>
      <c r="G37" s="74">
        <f>IF(B37="",0,((Input!F58+Input!F58*Input!H58)*($G$6+$G$8))/I37)</f>
        <v>0</v>
      </c>
      <c r="H37" s="78">
        <f t="shared" si="5"/>
        <v>0</v>
      </c>
      <c r="I37" s="48" t="str">
        <f t="shared" si="4"/>
        <v/>
      </c>
    </row>
    <row r="38" spans="2:9" x14ac:dyDescent="0.2">
      <c r="B38" s="77" t="str">
        <f>IF(ISBLANK(Input!B59),"",Input!B59)</f>
        <v/>
      </c>
      <c r="C38" s="73" t="str">
        <f t="shared" si="3"/>
        <v/>
      </c>
      <c r="D38" s="74">
        <f>IF(B38="",0,((Input!F59+Input!F59*Input!H59)*($D$6+$D$8))/I38)</f>
        <v>0</v>
      </c>
      <c r="E38" s="74">
        <f>IF(B38="",0,((Input!F59+Input!F59*Input!H59)*($E$6+$E$8))/I38)</f>
        <v>0</v>
      </c>
      <c r="F38" s="74">
        <f>IF(B38="",0,((Input!F59+Input!F59*Input!H59)*($F$6+$F$8))/I38)</f>
        <v>0</v>
      </c>
      <c r="G38" s="74">
        <f>IF(B38="",0,((Input!F59+Input!F59*Input!H59)*($G$6+$G$8))/I38)</f>
        <v>0</v>
      </c>
      <c r="H38" s="78">
        <f t="shared" si="5"/>
        <v>0</v>
      </c>
      <c r="I38" s="48" t="str">
        <f t="shared" si="4"/>
        <v/>
      </c>
    </row>
    <row r="39" spans="2:9" x14ac:dyDescent="0.2">
      <c r="B39" s="77" t="str">
        <f>IF(ISBLANK(Input!B60),"",Input!B60)</f>
        <v/>
      </c>
      <c r="C39" s="73" t="str">
        <f t="shared" si="3"/>
        <v/>
      </c>
      <c r="D39" s="74">
        <f>IF(B39="",0,((Input!F60+Input!F60*Input!H60)*($D$6+$D$8))/I39)</f>
        <v>0</v>
      </c>
      <c r="E39" s="74">
        <f>IF(B39="",0,((Input!F60+Input!F60*Input!H60)*($E$6+$E$8))/I39)</f>
        <v>0</v>
      </c>
      <c r="F39" s="74">
        <f>IF(B39="",0,((Input!F60+Input!F60*Input!H60)*($F$6+$F$8))/I39)</f>
        <v>0</v>
      </c>
      <c r="G39" s="74">
        <f>IF(B39="",0,((Input!F60+Input!F60*Input!H60)*($G$6+$G$8))/I39)</f>
        <v>0</v>
      </c>
      <c r="H39" s="78">
        <f t="shared" si="5"/>
        <v>0</v>
      </c>
      <c r="I39" s="48" t="str">
        <f t="shared" si="4"/>
        <v/>
      </c>
    </row>
    <row r="40" spans="2:9" x14ac:dyDescent="0.2">
      <c r="B40" s="77" t="str">
        <f>IF(ISBLANK(Input!B61),"",Input!B61)</f>
        <v/>
      </c>
      <c r="C40" s="73" t="str">
        <f t="shared" si="3"/>
        <v/>
      </c>
      <c r="D40" s="74">
        <f>IF(B40="",0,((Input!F61+Input!F61*Input!H61)*($D$6+$D$8))/I40)</f>
        <v>0</v>
      </c>
      <c r="E40" s="74">
        <f>IF(B40="",0,((Input!F61+Input!F61*Input!H61)*($E$6+$E$8))/I40)</f>
        <v>0</v>
      </c>
      <c r="F40" s="74">
        <f>IF(B40="",0,((Input!F61+Input!F61*Input!H61)*($F$6+$F$8))/I40)</f>
        <v>0</v>
      </c>
      <c r="G40" s="74">
        <f>IF(B40="",0,((Input!F61+Input!F61*Input!H61)*($G$6+$G$8))/I40)</f>
        <v>0</v>
      </c>
      <c r="H40" s="78">
        <f t="shared" si="5"/>
        <v>0</v>
      </c>
      <c r="I40" s="48" t="str">
        <f t="shared" si="4"/>
        <v/>
      </c>
    </row>
    <row r="41" spans="2:9" ht="13.5" thickBot="1" x14ac:dyDescent="0.25">
      <c r="B41" s="79" t="str">
        <f>IF(ISBLANK(Input!B62),"",Input!B62)</f>
        <v/>
      </c>
      <c r="C41" s="80" t="str">
        <f t="shared" si="3"/>
        <v/>
      </c>
      <c r="D41" s="81">
        <f>IF(B41="",0,((Input!F62+Input!F62*Input!H62)*($D$6+$D$8))/I41)</f>
        <v>0</v>
      </c>
      <c r="E41" s="81">
        <f>IF(B41="",0,((Input!F62+Input!F62*Input!H62)*($E$6+$E$8))/I41)</f>
        <v>0</v>
      </c>
      <c r="F41" s="81">
        <f>IF(B41="",0,((Input!F62+Input!F62*Input!H62)*($F$6+$F$8))/I41)</f>
        <v>0</v>
      </c>
      <c r="G41" s="81">
        <f>IF(B41="",0,((Input!F62+Input!F62*Input!H62)*($G$6+$G$8))/I41)</f>
        <v>0</v>
      </c>
      <c r="H41" s="82">
        <f t="shared" si="5"/>
        <v>0</v>
      </c>
      <c r="I41" s="48" t="str">
        <f t="shared" si="4"/>
        <v/>
      </c>
    </row>
    <row r="43" spans="2:9" ht="15" x14ac:dyDescent="0.2">
      <c r="B43" s="44" t="s">
        <v>128</v>
      </c>
      <c r="C43" s="44"/>
    </row>
    <row r="44" spans="2:9" x14ac:dyDescent="0.2">
      <c r="B44" s="30"/>
      <c r="C44" s="30"/>
      <c r="D44" s="30"/>
      <c r="E44" s="30"/>
      <c r="F44" s="30"/>
      <c r="G44" s="30"/>
      <c r="H44" s="45" t="s">
        <v>131</v>
      </c>
    </row>
    <row r="45" spans="2:9" ht="24" x14ac:dyDescent="0.2">
      <c r="B45" s="343" t="s">
        <v>367</v>
      </c>
      <c r="C45" s="342"/>
      <c r="D45" s="46">
        <f>MAX(Input!C73+Input!C78,Input!D73+Input!D78,Input!E73+Input!E78)</f>
        <v>0</v>
      </c>
      <c r="E45" s="46">
        <f>MAX(Input!F73+Input!F78,Input!G73+Input!G78,Input!H73+Input!H78)</f>
        <v>0</v>
      </c>
      <c r="F45" s="46">
        <f>MAX(Input!I73+Input!I78,Input!J73+Input!J78,Input!K73+Input!K78)</f>
        <v>0</v>
      </c>
      <c r="G45" s="46">
        <f>MAX(Input!L73+Input!L78,Input!M73+Input!M78,Input!N73+Input!N78)</f>
        <v>0</v>
      </c>
      <c r="H45" s="46">
        <f>MAX(D45:G45)</f>
        <v>0</v>
      </c>
    </row>
    <row r="46" spans="2:9" ht="24" x14ac:dyDescent="0.2">
      <c r="B46" s="343" t="s">
        <v>366</v>
      </c>
      <c r="C46" s="342"/>
      <c r="D46" s="46">
        <f>MAX(Input!C74+Input!C79,Input!D74+Input!D79,Input!E74+Input!E79)</f>
        <v>0</v>
      </c>
      <c r="E46" s="46">
        <f>MAX(Input!F74+Input!F79,Input!G74+Input!G79,Input!H74+Input!H79)</f>
        <v>0</v>
      </c>
      <c r="F46" s="46">
        <f>MAX(Input!I74+Input!I79,Input!J74+Input!J79,Input!K74+Input!K79)</f>
        <v>0</v>
      </c>
      <c r="G46" s="46">
        <f>MAX(Input!L74+Input!L79,Input!M74+Input!M79,Input!N74+Input!N79)</f>
        <v>0</v>
      </c>
      <c r="H46" s="46">
        <f>MAX(D46:G46)</f>
        <v>0</v>
      </c>
    </row>
    <row r="47" spans="2:9" ht="13.5" thickBot="1" x14ac:dyDescent="0.25">
      <c r="B47" s="344" t="s">
        <v>276</v>
      </c>
    </row>
    <row r="48" spans="2:9" ht="24" customHeight="1" thickBot="1" x14ac:dyDescent="0.25">
      <c r="B48" s="173" t="s">
        <v>90</v>
      </c>
      <c r="C48" s="174" t="s">
        <v>23</v>
      </c>
      <c r="D48" s="171" t="str">
        <f ca="1">D4</f>
        <v>Jan - Mar 2012</v>
      </c>
      <c r="E48" s="171" t="str">
        <f ca="1">E4</f>
        <v>Apr - Jun 2012</v>
      </c>
      <c r="F48" s="171" t="str">
        <f ca="1">F4</f>
        <v>Jul - Sep 2012</v>
      </c>
      <c r="G48" s="171" t="str">
        <f ca="1">G4</f>
        <v>Oct - Dec 2012</v>
      </c>
      <c r="H48" s="176" t="s">
        <v>98</v>
      </c>
    </row>
    <row r="49" spans="2:8" x14ac:dyDescent="0.2">
      <c r="B49" s="83" t="str">
        <f>IF(Input!B109="","",Input!B109)</f>
        <v>ReSoMal, 42g sachet/1L/CAR-100</v>
      </c>
      <c r="C49" s="71" t="str">
        <f t="shared" ref="C49:C73" si="6">IF(B49="","",INDEX(products_all,MATCH(B49,products_dd,0),2))</f>
        <v>CAR-100</v>
      </c>
      <c r="D49" s="72">
        <f>IF(B49="",0,(IF(ISNA(VLOOKUP(B49,inpatient,3,FALSE)),0,VLOOKUP(B49,inpatient,3,FALSE)))+(IF(ISNA(VLOOKUP(B49,outpatient,3,FALSE)),0,VLOOKUP(B49,outpatient,3,FALSE))))</f>
        <v>0</v>
      </c>
      <c r="E49" s="72">
        <f t="shared" ref="E49:E73" si="7">IF(B49="",0,(IF(ISNA(VLOOKUP(B49,inpatient,4,FALSE)),0,VLOOKUP(B49,inpatient,4,FALSE)))+(IF(ISNA(VLOOKUP(B49,outpatient,4,FALSE)),0,VLOOKUP(B49,outpatient,4,FALSE))))</f>
        <v>0</v>
      </c>
      <c r="F49" s="72">
        <f t="shared" ref="F49:F73" si="8">IF(B49="",0,(IF(ISNA(VLOOKUP(B49,inpatient,5,FALSE)),0,VLOOKUP(B49,inpatient,5,FALSE)))+(IF(ISNA(VLOOKUP(B49,outpatient,5,FALSE)),0,VLOOKUP(B49,outpatient,5,FALSE))))</f>
        <v>0</v>
      </c>
      <c r="G49" s="72">
        <f t="shared" ref="G49:G73" si="9">IF(B49="",0,(IF(ISNA(VLOOKUP(B49,inpatient,6,FALSE)),0,VLOOKUP(B49,inpatient,6,FALSE)))+(IF(ISNA(VLOOKUP(B49,outpatient,6,FALSE)),0,VLOOKUP(B49,outpatient,6,FALSE))))</f>
        <v>0</v>
      </c>
      <c r="H49" s="76">
        <f>IF(SUM(D49:G49)&gt;$H$45,SUM(D49:G49),IF(SUM(D49:G49)=0,0,$H$45))</f>
        <v>0</v>
      </c>
    </row>
    <row r="50" spans="2:8" x14ac:dyDescent="0.2">
      <c r="B50" s="84" t="str">
        <f>IF(Input!B110="","",Input!B110)</f>
        <v>F75 Therapeutic diet, sachet 102.5g/CAR-120</v>
      </c>
      <c r="C50" s="73" t="str">
        <f t="shared" si="6"/>
        <v>CAR-120</v>
      </c>
      <c r="D50" s="74">
        <f t="shared" ref="D50:D73" si="10">IF(B50="",0,(IF(ISNA(VLOOKUP(B50,inpatient,3,FALSE)),0,VLOOKUP(B50,inpatient,3,FALSE)))+(IF(ISNA(VLOOKUP(B50,outpatient,3,FALSE)),0,VLOOKUP(B50,outpatient,3,FALSE))))</f>
        <v>0</v>
      </c>
      <c r="E50" s="74">
        <f t="shared" si="7"/>
        <v>0</v>
      </c>
      <c r="F50" s="74">
        <f t="shared" si="8"/>
        <v>0</v>
      </c>
      <c r="G50" s="74">
        <f t="shared" si="9"/>
        <v>0</v>
      </c>
      <c r="H50" s="78">
        <f t="shared" ref="H50:H73" si="11">IF(SUM(D50:G50)&gt;$H$45,SUM(D50:G50),IF(SUM(D50:G50)=0,0,$H$45))</f>
        <v>0</v>
      </c>
    </row>
    <row r="51" spans="2:8" x14ac:dyDescent="0.2">
      <c r="B51" s="84" t="str">
        <f>IF(Input!B111="","",Input!B111)</f>
        <v>F100 Therapeutic diet, sachet 114g/CAR-90</v>
      </c>
      <c r="C51" s="73" t="str">
        <f t="shared" si="6"/>
        <v>CAR-90</v>
      </c>
      <c r="D51" s="74">
        <f t="shared" si="10"/>
        <v>0</v>
      </c>
      <c r="E51" s="74">
        <f t="shared" si="7"/>
        <v>0</v>
      </c>
      <c r="F51" s="74">
        <f t="shared" si="8"/>
        <v>0</v>
      </c>
      <c r="G51" s="74">
        <f t="shared" si="9"/>
        <v>0</v>
      </c>
      <c r="H51" s="78">
        <f t="shared" si="11"/>
        <v>0</v>
      </c>
    </row>
    <row r="52" spans="2:8" x14ac:dyDescent="0.2">
      <c r="B52" s="84" t="str">
        <f>IF(Input!B112="","",Input!B112)</f>
        <v>Folic acid 5mg tabs/PAC-1000</v>
      </c>
      <c r="C52" s="73" t="str">
        <f t="shared" si="6"/>
        <v>PAC-1000</v>
      </c>
      <c r="D52" s="74">
        <f t="shared" si="10"/>
        <v>0</v>
      </c>
      <c r="E52" s="74">
        <f t="shared" si="7"/>
        <v>0</v>
      </c>
      <c r="F52" s="74">
        <f t="shared" si="8"/>
        <v>0</v>
      </c>
      <c r="G52" s="74">
        <f t="shared" si="9"/>
        <v>0</v>
      </c>
      <c r="H52" s="78">
        <f t="shared" si="11"/>
        <v>0</v>
      </c>
    </row>
    <row r="53" spans="2:8" x14ac:dyDescent="0.2">
      <c r="B53" s="84" t="str">
        <f>IF(Input!B113="","",Input!B113)</f>
        <v>Therapeutic spread, sachet 92g/CAR-150</v>
      </c>
      <c r="C53" s="73" t="str">
        <f t="shared" si="6"/>
        <v>CAR-150</v>
      </c>
      <c r="D53" s="74">
        <f t="shared" si="10"/>
        <v>0</v>
      </c>
      <c r="E53" s="74">
        <f t="shared" si="7"/>
        <v>0</v>
      </c>
      <c r="F53" s="74">
        <f t="shared" si="8"/>
        <v>0</v>
      </c>
      <c r="G53" s="74">
        <f t="shared" si="9"/>
        <v>0</v>
      </c>
      <c r="H53" s="78">
        <f t="shared" ref="H53:H58" si="12">IF(SUM(D53:G53)&gt;($H$45+$H$46),SUM(D53:G53),IF(SUM(D53:G53)=0,0,($H$45+$H$46)))</f>
        <v>0</v>
      </c>
    </row>
    <row r="54" spans="2:8" x14ac:dyDescent="0.2">
      <c r="B54" s="84" t="str">
        <f>IF(Input!B114="","",Input!B114)</f>
        <v>Retinol 100,000IU soft gel.caps/PAC-500</v>
      </c>
      <c r="C54" s="73" t="str">
        <f t="shared" si="6"/>
        <v>PAC-500</v>
      </c>
      <c r="D54" s="74">
        <f t="shared" si="10"/>
        <v>0</v>
      </c>
      <c r="E54" s="74">
        <f t="shared" si="7"/>
        <v>0</v>
      </c>
      <c r="F54" s="74">
        <f t="shared" si="8"/>
        <v>0</v>
      </c>
      <c r="G54" s="74">
        <f t="shared" si="9"/>
        <v>0</v>
      </c>
      <c r="H54" s="78">
        <f t="shared" si="12"/>
        <v>0</v>
      </c>
    </row>
    <row r="55" spans="2:8" x14ac:dyDescent="0.2">
      <c r="B55" s="84" t="str">
        <f>IF(Input!B115="","",Input!B115)</f>
        <v>Retinol 200,000IU soft gel.caps/PAC-500</v>
      </c>
      <c r="C55" s="73" t="str">
        <f t="shared" si="6"/>
        <v>PAC-500</v>
      </c>
      <c r="D55" s="74">
        <f t="shared" si="10"/>
        <v>0</v>
      </c>
      <c r="E55" s="74">
        <f t="shared" si="7"/>
        <v>0</v>
      </c>
      <c r="F55" s="74">
        <f t="shared" si="8"/>
        <v>0</v>
      </c>
      <c r="G55" s="74">
        <f t="shared" si="9"/>
        <v>0</v>
      </c>
      <c r="H55" s="78">
        <f t="shared" si="12"/>
        <v>0</v>
      </c>
    </row>
    <row r="56" spans="2:8" x14ac:dyDescent="0.2">
      <c r="B56" s="84" t="str">
        <f>IF(Input!B116="","",Input!B116)</f>
        <v>BP100 Therapeutic diet/CAR-9x24x56.8g</v>
      </c>
      <c r="C56" s="73" t="str">
        <f t="shared" si="6"/>
        <v>CAR-9x24</v>
      </c>
      <c r="D56" s="74">
        <f t="shared" si="10"/>
        <v>0</v>
      </c>
      <c r="E56" s="74">
        <f t="shared" si="7"/>
        <v>0</v>
      </c>
      <c r="F56" s="74">
        <f t="shared" si="8"/>
        <v>0</v>
      </c>
      <c r="G56" s="74">
        <f t="shared" si="9"/>
        <v>0</v>
      </c>
      <c r="H56" s="78">
        <f t="shared" si="12"/>
        <v>0</v>
      </c>
    </row>
    <row r="57" spans="2:8" x14ac:dyDescent="0.2">
      <c r="B57" s="84" t="str">
        <f>IF(Input!B117="","",Input!B117)</f>
        <v>Mebendazole 500 mg tabs/PAC-100</v>
      </c>
      <c r="C57" s="73" t="str">
        <f t="shared" si="6"/>
        <v>PAC-100</v>
      </c>
      <c r="D57" s="74">
        <f t="shared" si="10"/>
        <v>0</v>
      </c>
      <c r="E57" s="74">
        <f t="shared" si="7"/>
        <v>0</v>
      </c>
      <c r="F57" s="74">
        <f t="shared" si="8"/>
        <v>0</v>
      </c>
      <c r="G57" s="74">
        <f t="shared" si="9"/>
        <v>0</v>
      </c>
      <c r="H57" s="78">
        <f t="shared" si="12"/>
        <v>0</v>
      </c>
    </row>
    <row r="58" spans="2:8" x14ac:dyDescent="0.2">
      <c r="B58" s="84" t="str">
        <f>IF(Input!B118="","",Input!B118)</f>
        <v>Amoxici.pdr/oral sus 125mg/5ml/BOT-100ml</v>
      </c>
      <c r="C58" s="73" t="str">
        <f t="shared" si="6"/>
        <v>BOT-100ml</v>
      </c>
      <c r="D58" s="74">
        <f t="shared" si="10"/>
        <v>0</v>
      </c>
      <c r="E58" s="74">
        <f t="shared" si="7"/>
        <v>0</v>
      </c>
      <c r="F58" s="74">
        <f t="shared" si="8"/>
        <v>0</v>
      </c>
      <c r="G58" s="74">
        <f t="shared" si="9"/>
        <v>0</v>
      </c>
      <c r="H58" s="78">
        <f t="shared" si="12"/>
        <v>0</v>
      </c>
    </row>
    <row r="59" spans="2:8" x14ac:dyDescent="0.2">
      <c r="B59" s="84" t="str">
        <f>IF(Input!B119="","",Input!B119)</f>
        <v/>
      </c>
      <c r="C59" s="73" t="str">
        <f t="shared" si="6"/>
        <v/>
      </c>
      <c r="D59" s="74">
        <f t="shared" si="10"/>
        <v>0</v>
      </c>
      <c r="E59" s="74">
        <f t="shared" si="7"/>
        <v>0</v>
      </c>
      <c r="F59" s="74">
        <f t="shared" si="8"/>
        <v>0</v>
      </c>
      <c r="G59" s="74">
        <f t="shared" si="9"/>
        <v>0</v>
      </c>
      <c r="H59" s="78">
        <f t="shared" si="11"/>
        <v>0</v>
      </c>
    </row>
    <row r="60" spans="2:8" x14ac:dyDescent="0.2">
      <c r="B60" s="84" t="str">
        <f>IF(Input!B120="","",Input!B120)</f>
        <v/>
      </c>
      <c r="C60" s="73" t="str">
        <f t="shared" si="6"/>
        <v/>
      </c>
      <c r="D60" s="74">
        <f t="shared" si="10"/>
        <v>0</v>
      </c>
      <c r="E60" s="74">
        <f t="shared" si="7"/>
        <v>0</v>
      </c>
      <c r="F60" s="74">
        <f t="shared" si="8"/>
        <v>0</v>
      </c>
      <c r="G60" s="74">
        <f t="shared" si="9"/>
        <v>0</v>
      </c>
      <c r="H60" s="78">
        <f t="shared" si="11"/>
        <v>0</v>
      </c>
    </row>
    <row r="61" spans="2:8" x14ac:dyDescent="0.2">
      <c r="B61" s="84" t="str">
        <f>IF(Input!B121="","",Input!B121)</f>
        <v/>
      </c>
      <c r="C61" s="73" t="str">
        <f t="shared" si="6"/>
        <v/>
      </c>
      <c r="D61" s="74">
        <f t="shared" si="10"/>
        <v>0</v>
      </c>
      <c r="E61" s="74">
        <f t="shared" si="7"/>
        <v>0</v>
      </c>
      <c r="F61" s="74">
        <f t="shared" si="8"/>
        <v>0</v>
      </c>
      <c r="G61" s="74">
        <f t="shared" si="9"/>
        <v>0</v>
      </c>
      <c r="H61" s="78">
        <f t="shared" si="11"/>
        <v>0</v>
      </c>
    </row>
    <row r="62" spans="2:8" x14ac:dyDescent="0.2">
      <c r="B62" s="84" t="str">
        <f>IF(Input!B122="","",Input!B122)</f>
        <v/>
      </c>
      <c r="C62" s="73" t="str">
        <f t="shared" si="6"/>
        <v/>
      </c>
      <c r="D62" s="74">
        <f t="shared" si="10"/>
        <v>0</v>
      </c>
      <c r="E62" s="74">
        <f t="shared" si="7"/>
        <v>0</v>
      </c>
      <c r="F62" s="74">
        <f t="shared" si="8"/>
        <v>0</v>
      </c>
      <c r="G62" s="74">
        <f t="shared" si="9"/>
        <v>0</v>
      </c>
      <c r="H62" s="78">
        <f t="shared" si="11"/>
        <v>0</v>
      </c>
    </row>
    <row r="63" spans="2:8" x14ac:dyDescent="0.2">
      <c r="B63" s="84" t="str">
        <f>IF(Input!B123="","",Input!B123)</f>
        <v/>
      </c>
      <c r="C63" s="73" t="str">
        <f t="shared" si="6"/>
        <v/>
      </c>
      <c r="D63" s="74">
        <f t="shared" si="10"/>
        <v>0</v>
      </c>
      <c r="E63" s="74">
        <f t="shared" si="7"/>
        <v>0</v>
      </c>
      <c r="F63" s="74">
        <f t="shared" si="8"/>
        <v>0</v>
      </c>
      <c r="G63" s="74">
        <f t="shared" si="9"/>
        <v>0</v>
      </c>
      <c r="H63" s="78">
        <f t="shared" si="11"/>
        <v>0</v>
      </c>
    </row>
    <row r="64" spans="2:8" x14ac:dyDescent="0.2">
      <c r="B64" s="84" t="str">
        <f>IF(Input!B124="","",Input!B124)</f>
        <v/>
      </c>
      <c r="C64" s="73" t="str">
        <f t="shared" si="6"/>
        <v/>
      </c>
      <c r="D64" s="74">
        <f t="shared" si="10"/>
        <v>0</v>
      </c>
      <c r="E64" s="74">
        <f t="shared" si="7"/>
        <v>0</v>
      </c>
      <c r="F64" s="74">
        <f t="shared" si="8"/>
        <v>0</v>
      </c>
      <c r="G64" s="74">
        <f t="shared" si="9"/>
        <v>0</v>
      </c>
      <c r="H64" s="78">
        <f t="shared" si="11"/>
        <v>0</v>
      </c>
    </row>
    <row r="65" spans="1:15" x14ac:dyDescent="0.2">
      <c r="B65" s="84" t="str">
        <f>IF(Input!B125="","",Input!B125)</f>
        <v/>
      </c>
      <c r="C65" s="73" t="str">
        <f t="shared" si="6"/>
        <v/>
      </c>
      <c r="D65" s="74">
        <f t="shared" si="10"/>
        <v>0</v>
      </c>
      <c r="E65" s="74">
        <f t="shared" si="7"/>
        <v>0</v>
      </c>
      <c r="F65" s="74">
        <f t="shared" si="8"/>
        <v>0</v>
      </c>
      <c r="G65" s="74">
        <f t="shared" si="9"/>
        <v>0</v>
      </c>
      <c r="H65" s="78">
        <f t="shared" si="11"/>
        <v>0</v>
      </c>
    </row>
    <row r="66" spans="1:15" x14ac:dyDescent="0.2">
      <c r="B66" s="84" t="str">
        <f>IF(Input!B126="","",Input!B126)</f>
        <v/>
      </c>
      <c r="C66" s="73" t="str">
        <f t="shared" si="6"/>
        <v/>
      </c>
      <c r="D66" s="74">
        <f t="shared" si="10"/>
        <v>0</v>
      </c>
      <c r="E66" s="74">
        <f t="shared" si="7"/>
        <v>0</v>
      </c>
      <c r="F66" s="74">
        <f t="shared" si="8"/>
        <v>0</v>
      </c>
      <c r="G66" s="74">
        <f t="shared" si="9"/>
        <v>0</v>
      </c>
      <c r="H66" s="78">
        <f t="shared" si="11"/>
        <v>0</v>
      </c>
    </row>
    <row r="67" spans="1:15" x14ac:dyDescent="0.2">
      <c r="B67" s="84" t="str">
        <f>IF(Input!B127="","",Input!B127)</f>
        <v/>
      </c>
      <c r="C67" s="73" t="str">
        <f t="shared" si="6"/>
        <v/>
      </c>
      <c r="D67" s="74">
        <f t="shared" si="10"/>
        <v>0</v>
      </c>
      <c r="E67" s="74">
        <f t="shared" si="7"/>
        <v>0</v>
      </c>
      <c r="F67" s="74">
        <f t="shared" si="8"/>
        <v>0</v>
      </c>
      <c r="G67" s="74">
        <f t="shared" si="9"/>
        <v>0</v>
      </c>
      <c r="H67" s="78">
        <f t="shared" si="11"/>
        <v>0</v>
      </c>
    </row>
    <row r="68" spans="1:15" x14ac:dyDescent="0.2">
      <c r="B68" s="84" t="str">
        <f>IF(Input!B128="","",Input!B128)</f>
        <v/>
      </c>
      <c r="C68" s="73" t="str">
        <f t="shared" si="6"/>
        <v/>
      </c>
      <c r="D68" s="74">
        <f t="shared" si="10"/>
        <v>0</v>
      </c>
      <c r="E68" s="74">
        <f t="shared" si="7"/>
        <v>0</v>
      </c>
      <c r="F68" s="74">
        <f t="shared" si="8"/>
        <v>0</v>
      </c>
      <c r="G68" s="74">
        <f t="shared" si="9"/>
        <v>0</v>
      </c>
      <c r="H68" s="78">
        <f t="shared" si="11"/>
        <v>0</v>
      </c>
    </row>
    <row r="69" spans="1:15" x14ac:dyDescent="0.2">
      <c r="B69" s="84" t="str">
        <f>IF(Input!B129="","",Input!B129)</f>
        <v/>
      </c>
      <c r="C69" s="73" t="str">
        <f t="shared" si="6"/>
        <v/>
      </c>
      <c r="D69" s="74">
        <f t="shared" si="10"/>
        <v>0</v>
      </c>
      <c r="E69" s="74">
        <f t="shared" si="7"/>
        <v>0</v>
      </c>
      <c r="F69" s="74">
        <f t="shared" si="8"/>
        <v>0</v>
      </c>
      <c r="G69" s="74">
        <f t="shared" si="9"/>
        <v>0</v>
      </c>
      <c r="H69" s="78">
        <f t="shared" si="11"/>
        <v>0</v>
      </c>
    </row>
    <row r="70" spans="1:15" x14ac:dyDescent="0.2">
      <c r="B70" s="84" t="str">
        <f>IF(Input!B130="","",Input!B130)</f>
        <v/>
      </c>
      <c r="C70" s="73" t="str">
        <f t="shared" si="6"/>
        <v/>
      </c>
      <c r="D70" s="74">
        <f t="shared" si="10"/>
        <v>0</v>
      </c>
      <c r="E70" s="74">
        <f t="shared" si="7"/>
        <v>0</v>
      </c>
      <c r="F70" s="74">
        <f t="shared" si="8"/>
        <v>0</v>
      </c>
      <c r="G70" s="74">
        <f t="shared" si="9"/>
        <v>0</v>
      </c>
      <c r="H70" s="78">
        <f t="shared" si="11"/>
        <v>0</v>
      </c>
    </row>
    <row r="71" spans="1:15" x14ac:dyDescent="0.2">
      <c r="B71" s="84" t="str">
        <f>IF(Input!B131="","",Input!B131)</f>
        <v/>
      </c>
      <c r="C71" s="73" t="str">
        <f t="shared" si="6"/>
        <v/>
      </c>
      <c r="D71" s="74">
        <f t="shared" si="10"/>
        <v>0</v>
      </c>
      <c r="E71" s="74">
        <f t="shared" si="7"/>
        <v>0</v>
      </c>
      <c r="F71" s="74">
        <f t="shared" si="8"/>
        <v>0</v>
      </c>
      <c r="G71" s="74">
        <f t="shared" si="9"/>
        <v>0</v>
      </c>
      <c r="H71" s="78">
        <f t="shared" si="11"/>
        <v>0</v>
      </c>
    </row>
    <row r="72" spans="1:15" x14ac:dyDescent="0.2">
      <c r="B72" s="84" t="str">
        <f>IF(Input!B132="","",Input!B132)</f>
        <v/>
      </c>
      <c r="C72" s="73" t="str">
        <f t="shared" si="6"/>
        <v/>
      </c>
      <c r="D72" s="74">
        <f t="shared" si="10"/>
        <v>0</v>
      </c>
      <c r="E72" s="74">
        <f t="shared" si="7"/>
        <v>0</v>
      </c>
      <c r="F72" s="74">
        <f t="shared" si="8"/>
        <v>0</v>
      </c>
      <c r="G72" s="74">
        <f t="shared" si="9"/>
        <v>0</v>
      </c>
      <c r="H72" s="78">
        <f t="shared" si="11"/>
        <v>0</v>
      </c>
    </row>
    <row r="73" spans="1:15" ht="13.5" thickBot="1" x14ac:dyDescent="0.25">
      <c r="B73" s="85" t="str">
        <f>IF(Input!B133="","",Input!B133)</f>
        <v/>
      </c>
      <c r="C73" s="80" t="str">
        <f t="shared" si="6"/>
        <v/>
      </c>
      <c r="D73" s="81">
        <f t="shared" si="10"/>
        <v>0</v>
      </c>
      <c r="E73" s="81">
        <f t="shared" si="7"/>
        <v>0</v>
      </c>
      <c r="F73" s="81">
        <f t="shared" si="8"/>
        <v>0</v>
      </c>
      <c r="G73" s="81">
        <f t="shared" si="9"/>
        <v>0</v>
      </c>
      <c r="H73" s="82">
        <f t="shared" si="11"/>
        <v>0</v>
      </c>
    </row>
    <row r="75" spans="1:15" ht="15" x14ac:dyDescent="0.2">
      <c r="A75" s="21" t="s">
        <v>246</v>
      </c>
    </row>
    <row r="76" spans="1:15" ht="13.5" thickBot="1" x14ac:dyDescent="0.25">
      <c r="B76" s="344" t="s">
        <v>277</v>
      </c>
      <c r="D76" s="87"/>
      <c r="E76" s="87" t="s">
        <v>142</v>
      </c>
      <c r="F76" s="87"/>
      <c r="G76" s="87" t="s">
        <v>143</v>
      </c>
      <c r="H76" s="87"/>
      <c r="I76" s="87" t="s">
        <v>144</v>
      </c>
      <c r="J76" s="87"/>
      <c r="K76" s="87" t="s">
        <v>145</v>
      </c>
      <c r="L76" s="88" t="s">
        <v>146</v>
      </c>
    </row>
    <row r="77" spans="1:15" ht="40.5" customHeight="1" thickBot="1" x14ac:dyDescent="0.25">
      <c r="B77" s="40" t="s">
        <v>90</v>
      </c>
      <c r="C77" s="90" t="s">
        <v>23</v>
      </c>
      <c r="D77" s="466" t="s">
        <v>126</v>
      </c>
      <c r="E77" s="467"/>
      <c r="F77" s="466" t="str">
        <f>"Supplies needed for Safety stock (average "&amp;ROUND(Input!D134,1)&amp;" months)"</f>
        <v>Supplies needed for Safety stock (average 0 months)</v>
      </c>
      <c r="G77" s="467"/>
      <c r="H77" s="466" t="s">
        <v>140</v>
      </c>
      <c r="I77" s="467"/>
      <c r="J77" s="466" t="s">
        <v>125</v>
      </c>
      <c r="K77" s="467"/>
      <c r="L77" s="464" t="s">
        <v>274</v>
      </c>
      <c r="M77" s="465"/>
    </row>
    <row r="78" spans="1:15" x14ac:dyDescent="0.2">
      <c r="B78" s="185" t="str">
        <f>B49</f>
        <v>ReSoMal, 42g sachet/1L/CAR-100</v>
      </c>
      <c r="C78" s="186" t="str">
        <f>C49</f>
        <v>CAR-100</v>
      </c>
      <c r="D78" s="51">
        <f>H49</f>
        <v>0</v>
      </c>
      <c r="E78" s="22"/>
      <c r="F78" s="49">
        <f>(D78/12)*Input!D109</f>
        <v>0</v>
      </c>
      <c r="G78" s="97" t="str">
        <f>IF((F78+H78)&gt;J78,"&lt;--","")</f>
        <v/>
      </c>
      <c r="H78" s="49">
        <f>(IF(ISNA(((VLOOKUP(B78,treatm_in,3,FALSE))*(1+(VLOOKUP(B78,treatm_in,7,FALSE)))/O78)*Input!$C$97),0,(((VLOOKUP(B78,treatm_in,3,FALSE))*(1+(VLOOKUP(B78,treatm_in,7,FALSE)))/O78)*Input!$C$97)))+(IF(ISNA(((VLOOKUP(B78,treatm_out,3,FALSE))*(1+(VLOOKUP(B78,treatm_out,7,FALSE)))/O78)*Input!$C$98),0,(((VLOOKUP(B78,treatm_out,3,FALSE))*(1+(VLOOKUP(B78,treatm_out,7,FALSE)))/O78)*Input!$C$98)))</f>
        <v>0</v>
      </c>
      <c r="I78" s="97" t="str">
        <f>IF((F78+H78)&gt;J78,"&lt;--","")</f>
        <v/>
      </c>
      <c r="J78" s="49">
        <f>Input!L109</f>
        <v>0</v>
      </c>
      <c r="K78" s="91" t="str">
        <f>IF(L78&lt;0,"&lt;--",IF(I78="&lt;--","&lt;--",""))</f>
        <v/>
      </c>
      <c r="L78" s="50">
        <f>ROUNDUP((D78+F78+H78)-J78,0)</f>
        <v>0</v>
      </c>
      <c r="M78" s="99" t="str">
        <f>IF(D78=0,"",IF(L78&lt;0," You have more stock than needed",IF((F78+H78)&gt;J78," Current stock is not enough required for safety+emergency stock"," Ok")))</f>
        <v/>
      </c>
      <c r="O78" s="89">
        <f t="shared" ref="O78:O102" si="13">IF(B78="","",INDEX(products_all,MATCH(B78,products_dd,0),5))</f>
        <v>100</v>
      </c>
    </row>
    <row r="79" spans="1:15" ht="24" x14ac:dyDescent="0.2">
      <c r="B79" s="187" t="str">
        <f t="shared" ref="B79:C102" si="14">B50</f>
        <v>F75 Therapeutic diet, sachet 102.5g/CAR-120</v>
      </c>
      <c r="C79" s="188" t="str">
        <f t="shared" si="14"/>
        <v>CAR-120</v>
      </c>
      <c r="D79" s="51">
        <f t="shared" ref="D79:D102" si="15">H50</f>
        <v>0</v>
      </c>
      <c r="E79" s="22"/>
      <c r="F79" s="49">
        <f>(D79/12)*Input!D110</f>
        <v>0</v>
      </c>
      <c r="G79" s="97" t="str">
        <f t="shared" ref="G79:G102" si="16">IF((F79+H79)&gt;J79,"&lt;--","")</f>
        <v/>
      </c>
      <c r="H79" s="49">
        <f>(IF(ISNA(((VLOOKUP(B79,treatm_in,3,FALSE))*(1+(VLOOKUP(B79,treatm_in,7,FALSE)))/O79)*Input!$C$97),0,(((VLOOKUP(B79,treatm_in,3,FALSE))*(1+(VLOOKUP(B79,treatm_in,7,FALSE)))/O79)*Input!$C$97)))+(IF(ISNA(((VLOOKUP(B79,treatm_out,3,FALSE))*(1+(VLOOKUP(B79,treatm_out,7,FALSE)))/O79)*Input!$C$98),0,(((VLOOKUP(B79,treatm_out,3,FALSE))*(1+(VLOOKUP(B79,treatm_out,7,FALSE)))/O79)*Input!$C$98)))</f>
        <v>0</v>
      </c>
      <c r="I79" s="97" t="str">
        <f t="shared" ref="I79:I102" si="17">IF((F79+H79)&gt;J79,"&lt;--","")</f>
        <v/>
      </c>
      <c r="J79" s="49">
        <f>Input!L110</f>
        <v>0</v>
      </c>
      <c r="K79" s="91" t="str">
        <f t="shared" ref="K79:K102" si="18">IF(L79&lt;0,"&lt;--",IF(I79="&lt;--","&lt;--",""))</f>
        <v/>
      </c>
      <c r="L79" s="50">
        <f t="shared" ref="L79:L102" si="19">ROUNDUP((D79+F79+H79)-J79,0)</f>
        <v>0</v>
      </c>
      <c r="M79" s="100" t="str">
        <f t="shared" ref="M79:M102" si="20">IF(D79=0,"",IF(L79&lt;0," You have more stock than needed",IF((F79+H79)&gt;J79," Current stock is not enough required for safety+emergency stock"," Ok")))</f>
        <v/>
      </c>
      <c r="O79" s="89">
        <f t="shared" si="13"/>
        <v>120</v>
      </c>
    </row>
    <row r="80" spans="1:15" x14ac:dyDescent="0.2">
      <c r="B80" s="187" t="str">
        <f t="shared" si="14"/>
        <v>F100 Therapeutic diet, sachet 114g/CAR-90</v>
      </c>
      <c r="C80" s="188" t="str">
        <f t="shared" si="14"/>
        <v>CAR-90</v>
      </c>
      <c r="D80" s="51">
        <f t="shared" si="15"/>
        <v>0</v>
      </c>
      <c r="E80" s="22"/>
      <c r="F80" s="49">
        <f>(D80/12)*Input!D111</f>
        <v>0</v>
      </c>
      <c r="G80" s="97" t="str">
        <f t="shared" si="16"/>
        <v/>
      </c>
      <c r="H80" s="49">
        <f>(IF(ISNA(((VLOOKUP(B80,treatm_in,3,FALSE))*(1+(VLOOKUP(B80,treatm_in,7,FALSE)))/O80)*Input!$C$97),0,(((VLOOKUP(B80,treatm_in,3,FALSE))*(1+(VLOOKUP(B80,treatm_in,7,FALSE)))/O80)*Input!$C$97)))+(IF(ISNA(((VLOOKUP(B80,treatm_out,3,FALSE))*(1+(VLOOKUP(B80,treatm_out,7,FALSE)))/O80)*Input!$C$98),0,(((VLOOKUP(B80,treatm_out,3,FALSE))*(1+(VLOOKUP(B80,treatm_out,7,FALSE)))/O80)*Input!$C$98)))</f>
        <v>0</v>
      </c>
      <c r="I80" s="97" t="str">
        <f t="shared" si="17"/>
        <v/>
      </c>
      <c r="J80" s="49">
        <f>Input!L111</f>
        <v>0</v>
      </c>
      <c r="K80" s="91" t="str">
        <f t="shared" si="18"/>
        <v/>
      </c>
      <c r="L80" s="50">
        <f t="shared" si="19"/>
        <v>0</v>
      </c>
      <c r="M80" s="100" t="str">
        <f t="shared" si="20"/>
        <v/>
      </c>
      <c r="O80" s="89">
        <f t="shared" si="13"/>
        <v>90</v>
      </c>
    </row>
    <row r="81" spans="2:15" x14ac:dyDescent="0.2">
      <c r="B81" s="187" t="str">
        <f t="shared" si="14"/>
        <v>Folic acid 5mg tabs/PAC-1000</v>
      </c>
      <c r="C81" s="188" t="str">
        <f t="shared" si="14"/>
        <v>PAC-1000</v>
      </c>
      <c r="D81" s="51">
        <f t="shared" si="15"/>
        <v>0</v>
      </c>
      <c r="E81" s="22"/>
      <c r="F81" s="49">
        <f>(D81/12)*Input!D112</f>
        <v>0</v>
      </c>
      <c r="G81" s="97" t="str">
        <f t="shared" si="16"/>
        <v/>
      </c>
      <c r="H81" s="49">
        <f>(IF(ISNA(((VLOOKUP(B81,treatm_in,3,FALSE))*(1+(VLOOKUP(B81,treatm_in,7,FALSE)))/O81)*Input!$C$97),0,(((VLOOKUP(B81,treatm_in,3,FALSE))*(1+(VLOOKUP(B81,treatm_in,7,FALSE)))/O81)*Input!$C$97)))+(IF(ISNA(((VLOOKUP(B81,treatm_out,3,FALSE))*(1+(VLOOKUP(B81,treatm_out,7,FALSE)))/O81)*Input!$C$98),0,(((VLOOKUP(B81,treatm_out,3,FALSE))*(1+(VLOOKUP(B81,treatm_out,7,FALSE)))/O81)*Input!$C$98)))</f>
        <v>0</v>
      </c>
      <c r="I81" s="97" t="str">
        <f t="shared" si="17"/>
        <v/>
      </c>
      <c r="J81" s="49">
        <f>Input!L112</f>
        <v>0</v>
      </c>
      <c r="K81" s="91" t="str">
        <f t="shared" si="18"/>
        <v/>
      </c>
      <c r="L81" s="50">
        <f t="shared" si="19"/>
        <v>0</v>
      </c>
      <c r="M81" s="100" t="str">
        <f t="shared" si="20"/>
        <v/>
      </c>
      <c r="O81" s="89">
        <f t="shared" si="13"/>
        <v>1000</v>
      </c>
    </row>
    <row r="82" spans="2:15" x14ac:dyDescent="0.2">
      <c r="B82" s="187" t="str">
        <f t="shared" si="14"/>
        <v>Therapeutic spread, sachet 92g/CAR-150</v>
      </c>
      <c r="C82" s="188" t="str">
        <f t="shared" si="14"/>
        <v>CAR-150</v>
      </c>
      <c r="D82" s="51">
        <f t="shared" si="15"/>
        <v>0</v>
      </c>
      <c r="E82" s="22"/>
      <c r="F82" s="49">
        <f>(D82/12)*Input!D113</f>
        <v>0</v>
      </c>
      <c r="G82" s="97" t="str">
        <f t="shared" si="16"/>
        <v/>
      </c>
      <c r="H82" s="49">
        <f>(IF(ISNA(((VLOOKUP(B82,treatm_in,3,FALSE))*(1+(VLOOKUP(B82,treatm_in,7,FALSE)))/O82)*Input!$C$97),0,(((VLOOKUP(B82,treatm_in,3,FALSE))*(1+(VLOOKUP(B82,treatm_in,7,FALSE)))/O82)*Input!$C$97)))+(IF(ISNA(((VLOOKUP(B82,treatm_out,3,FALSE))*(1+(VLOOKUP(B82,treatm_out,7,FALSE)))/O82)*Input!$C$98),0,(((VLOOKUP(B82,treatm_out,3,FALSE))*(1+(VLOOKUP(B82,treatm_out,7,FALSE)))/O82)*Input!$C$98)))</f>
        <v>0</v>
      </c>
      <c r="I82" s="97" t="str">
        <f t="shared" si="17"/>
        <v/>
      </c>
      <c r="J82" s="49">
        <f>Input!L113</f>
        <v>0</v>
      </c>
      <c r="K82" s="91" t="str">
        <f t="shared" si="18"/>
        <v/>
      </c>
      <c r="L82" s="50">
        <f t="shared" si="19"/>
        <v>0</v>
      </c>
      <c r="M82" s="100" t="str">
        <f t="shared" si="20"/>
        <v/>
      </c>
      <c r="O82" s="89">
        <f t="shared" si="13"/>
        <v>150</v>
      </c>
    </row>
    <row r="83" spans="2:15" x14ac:dyDescent="0.2">
      <c r="B83" s="187" t="str">
        <f t="shared" si="14"/>
        <v>Retinol 100,000IU soft gel.caps/PAC-500</v>
      </c>
      <c r="C83" s="188" t="str">
        <f t="shared" si="14"/>
        <v>PAC-500</v>
      </c>
      <c r="D83" s="51">
        <f t="shared" si="15"/>
        <v>0</v>
      </c>
      <c r="E83" s="22"/>
      <c r="F83" s="49">
        <f>(D83/12)*Input!D114</f>
        <v>0</v>
      </c>
      <c r="G83" s="97" t="str">
        <f t="shared" si="16"/>
        <v/>
      </c>
      <c r="H83" s="49">
        <f>(IF(ISNA(((VLOOKUP(B83,treatm_in,3,FALSE))*(1+(VLOOKUP(B83,treatm_in,7,FALSE)))/O83)*Input!$C$97),0,(((VLOOKUP(B83,treatm_in,3,FALSE))*(1+(VLOOKUP(B83,treatm_in,7,FALSE)))/O83)*Input!$C$97)))+(IF(ISNA(((VLOOKUP(B83,treatm_out,3,FALSE))*(1+(VLOOKUP(B83,treatm_out,7,FALSE)))/O83)*Input!$C$98),0,(((VLOOKUP(B83,treatm_out,3,FALSE))*(1+(VLOOKUP(B83,treatm_out,7,FALSE)))/O83)*Input!$C$98)))</f>
        <v>0</v>
      </c>
      <c r="I83" s="97" t="str">
        <f t="shared" si="17"/>
        <v/>
      </c>
      <c r="J83" s="49">
        <f>Input!L114</f>
        <v>0</v>
      </c>
      <c r="K83" s="91" t="str">
        <f t="shared" si="18"/>
        <v/>
      </c>
      <c r="L83" s="50">
        <f t="shared" si="19"/>
        <v>0</v>
      </c>
      <c r="M83" s="100" t="str">
        <f t="shared" si="20"/>
        <v/>
      </c>
      <c r="O83" s="89">
        <f t="shared" si="13"/>
        <v>500</v>
      </c>
    </row>
    <row r="84" spans="2:15" x14ac:dyDescent="0.2">
      <c r="B84" s="187" t="str">
        <f t="shared" si="14"/>
        <v>Retinol 200,000IU soft gel.caps/PAC-500</v>
      </c>
      <c r="C84" s="188" t="str">
        <f t="shared" si="14"/>
        <v>PAC-500</v>
      </c>
      <c r="D84" s="51">
        <f t="shared" si="15"/>
        <v>0</v>
      </c>
      <c r="E84" s="22"/>
      <c r="F84" s="49">
        <f>(D84/12)*Input!D115</f>
        <v>0</v>
      </c>
      <c r="G84" s="97" t="str">
        <f t="shared" si="16"/>
        <v/>
      </c>
      <c r="H84" s="49">
        <f>(IF(ISNA(((VLOOKUP(B84,treatm_in,3,FALSE))*(1+(VLOOKUP(B84,treatm_in,7,FALSE)))/O84)*Input!$C$97),0,(((VLOOKUP(B84,treatm_in,3,FALSE))*(1+(VLOOKUP(B84,treatm_in,7,FALSE)))/O84)*Input!$C$97)))+(IF(ISNA(((VLOOKUP(B84,treatm_out,3,FALSE))*(1+(VLOOKUP(B84,treatm_out,7,FALSE)))/O84)*Input!$C$98),0,(((VLOOKUP(B84,treatm_out,3,FALSE))*(1+(VLOOKUP(B84,treatm_out,7,FALSE)))/O84)*Input!$C$98)))</f>
        <v>0</v>
      </c>
      <c r="I84" s="97" t="str">
        <f t="shared" si="17"/>
        <v/>
      </c>
      <c r="J84" s="49">
        <f>Input!L115</f>
        <v>0</v>
      </c>
      <c r="K84" s="91" t="str">
        <f t="shared" si="18"/>
        <v/>
      </c>
      <c r="L84" s="50">
        <f t="shared" si="19"/>
        <v>0</v>
      </c>
      <c r="M84" s="100" t="str">
        <f t="shared" si="20"/>
        <v/>
      </c>
      <c r="O84" s="89">
        <f t="shared" si="13"/>
        <v>500</v>
      </c>
    </row>
    <row r="85" spans="2:15" x14ac:dyDescent="0.2">
      <c r="B85" s="187" t="str">
        <f t="shared" si="14"/>
        <v>BP100 Therapeutic diet/CAR-9x24x56.8g</v>
      </c>
      <c r="C85" s="188" t="str">
        <f t="shared" si="14"/>
        <v>CAR-9x24</v>
      </c>
      <c r="D85" s="51">
        <f t="shared" si="15"/>
        <v>0</v>
      </c>
      <c r="E85" s="22"/>
      <c r="F85" s="49">
        <f>(D85/12)*Input!D116</f>
        <v>0</v>
      </c>
      <c r="G85" s="97" t="str">
        <f t="shared" si="16"/>
        <v/>
      </c>
      <c r="H85" s="49">
        <f>(IF(ISNA(((VLOOKUP(B85,treatm_in,3,FALSE))*(1+(VLOOKUP(B85,treatm_in,7,FALSE)))/O85)*Input!$C$97),0,(((VLOOKUP(B85,treatm_in,3,FALSE))*(1+(VLOOKUP(B85,treatm_in,7,FALSE)))/O85)*Input!$C$97)))+(IF(ISNA(((VLOOKUP(B85,treatm_out,3,FALSE))*(1+(VLOOKUP(B85,treatm_out,7,FALSE)))/O85)*Input!$C$98),0,(((VLOOKUP(B85,treatm_out,3,FALSE))*(1+(VLOOKUP(B85,treatm_out,7,FALSE)))/O85)*Input!$C$98)))</f>
        <v>0</v>
      </c>
      <c r="I85" s="97" t="str">
        <f t="shared" si="17"/>
        <v/>
      </c>
      <c r="J85" s="49">
        <f>Input!L116</f>
        <v>0</v>
      </c>
      <c r="K85" s="91" t="str">
        <f t="shared" si="18"/>
        <v/>
      </c>
      <c r="L85" s="50">
        <f t="shared" si="19"/>
        <v>0</v>
      </c>
      <c r="M85" s="100" t="str">
        <f t="shared" si="20"/>
        <v/>
      </c>
      <c r="O85" s="89">
        <f t="shared" si="13"/>
        <v>216</v>
      </c>
    </row>
    <row r="86" spans="2:15" x14ac:dyDescent="0.2">
      <c r="B86" s="187" t="str">
        <f t="shared" si="14"/>
        <v>Mebendazole 500 mg tabs/PAC-100</v>
      </c>
      <c r="C86" s="188" t="str">
        <f t="shared" si="14"/>
        <v>PAC-100</v>
      </c>
      <c r="D86" s="51">
        <f t="shared" si="15"/>
        <v>0</v>
      </c>
      <c r="E86" s="22"/>
      <c r="F86" s="49">
        <f>(D86/12)*Input!D117</f>
        <v>0</v>
      </c>
      <c r="G86" s="97" t="str">
        <f t="shared" si="16"/>
        <v/>
      </c>
      <c r="H86" s="49">
        <f>(IF(ISNA(((VLOOKUP(B86,treatm_in,3,FALSE))*(1+(VLOOKUP(B86,treatm_in,7,FALSE)))/O86)*Input!$C$97),0,(((VLOOKUP(B86,treatm_in,3,FALSE))*(1+(VLOOKUP(B86,treatm_in,7,FALSE)))/O86)*Input!$C$97)))+(IF(ISNA(((VLOOKUP(B86,treatm_out,3,FALSE))*(1+(VLOOKUP(B86,treatm_out,7,FALSE)))/O86)*Input!$C$98),0,(((VLOOKUP(B86,treatm_out,3,FALSE))*(1+(VLOOKUP(B86,treatm_out,7,FALSE)))/O86)*Input!$C$98)))</f>
        <v>0</v>
      </c>
      <c r="I86" s="97" t="str">
        <f t="shared" si="17"/>
        <v/>
      </c>
      <c r="J86" s="49">
        <f>Input!L117</f>
        <v>0</v>
      </c>
      <c r="K86" s="91" t="str">
        <f t="shared" si="18"/>
        <v/>
      </c>
      <c r="L86" s="50">
        <f t="shared" si="19"/>
        <v>0</v>
      </c>
      <c r="M86" s="100" t="str">
        <f t="shared" si="20"/>
        <v/>
      </c>
      <c r="O86" s="89">
        <f t="shared" si="13"/>
        <v>100</v>
      </c>
    </row>
    <row r="87" spans="2:15" x14ac:dyDescent="0.2">
      <c r="B87" s="187" t="str">
        <f t="shared" si="14"/>
        <v>Amoxici.pdr/oral sus 125mg/5ml/BOT-100ml</v>
      </c>
      <c r="C87" s="188" t="str">
        <f t="shared" si="14"/>
        <v>BOT-100ml</v>
      </c>
      <c r="D87" s="51">
        <f t="shared" si="15"/>
        <v>0</v>
      </c>
      <c r="E87" s="52"/>
      <c r="F87" s="49">
        <f>(D87/12)*Input!D118</f>
        <v>0</v>
      </c>
      <c r="G87" s="97" t="str">
        <f t="shared" si="16"/>
        <v/>
      </c>
      <c r="H87" s="49">
        <f>(IF(ISNA(((VLOOKUP(B87,treatm_in,3,FALSE))*(1+(VLOOKUP(B87,treatm_in,7,FALSE)))/O87)*Input!$C$97),0,(((VLOOKUP(B87,treatm_in,3,FALSE))*(1+(VLOOKUP(B87,treatm_in,7,FALSE)))/O87)*Input!$C$97)))+(IF(ISNA(((VLOOKUP(B87,treatm_out,3,FALSE))*(1+(VLOOKUP(B87,treatm_out,7,FALSE)))/O87)*Input!$C$98),0,(((VLOOKUP(B87,treatm_out,3,FALSE))*(1+(VLOOKUP(B87,treatm_out,7,FALSE)))/O87)*Input!$C$98)))</f>
        <v>0</v>
      </c>
      <c r="I87" s="97" t="str">
        <f t="shared" si="17"/>
        <v/>
      </c>
      <c r="J87" s="49">
        <f>Input!L118</f>
        <v>0</v>
      </c>
      <c r="K87" s="91" t="str">
        <f t="shared" si="18"/>
        <v/>
      </c>
      <c r="L87" s="50">
        <f t="shared" si="19"/>
        <v>0</v>
      </c>
      <c r="M87" s="100" t="str">
        <f t="shared" si="20"/>
        <v/>
      </c>
      <c r="O87" s="89">
        <f t="shared" si="13"/>
        <v>1</v>
      </c>
    </row>
    <row r="88" spans="2:15" x14ac:dyDescent="0.2">
      <c r="B88" s="187" t="str">
        <f t="shared" si="14"/>
        <v/>
      </c>
      <c r="C88" s="188" t="str">
        <f t="shared" si="14"/>
        <v/>
      </c>
      <c r="D88" s="51">
        <f t="shared" si="15"/>
        <v>0</v>
      </c>
      <c r="E88" s="52"/>
      <c r="F88" s="49">
        <f>(D88/12)*Input!D119</f>
        <v>0</v>
      </c>
      <c r="G88" s="97" t="str">
        <f t="shared" si="16"/>
        <v/>
      </c>
      <c r="H88" s="49">
        <f>(IF(ISNA(((VLOOKUP(B88,treatm_in,3,FALSE))*(1+(VLOOKUP(B88,treatm_in,7,FALSE)))/O88)*Input!$C$97),0,(((VLOOKUP(B88,treatm_in,3,FALSE))*(1+(VLOOKUP(B88,treatm_in,7,FALSE)))/O88)*Input!$C$97)))+(IF(ISNA(((VLOOKUP(B88,treatm_out,3,FALSE))*(1+(VLOOKUP(B88,treatm_out,7,FALSE)))/O88)*Input!$C$98),0,(((VLOOKUP(B88,treatm_out,3,FALSE))*(1+(VLOOKUP(B88,treatm_out,7,FALSE)))/O88)*Input!$C$98)))</f>
        <v>0</v>
      </c>
      <c r="I88" s="97" t="str">
        <f t="shared" si="17"/>
        <v/>
      </c>
      <c r="J88" s="49">
        <f>Input!L119</f>
        <v>0</v>
      </c>
      <c r="K88" s="91" t="str">
        <f t="shared" si="18"/>
        <v/>
      </c>
      <c r="L88" s="50">
        <f t="shared" si="19"/>
        <v>0</v>
      </c>
      <c r="M88" s="100" t="str">
        <f t="shared" si="20"/>
        <v/>
      </c>
      <c r="O88" s="89" t="str">
        <f t="shared" si="13"/>
        <v/>
      </c>
    </row>
    <row r="89" spans="2:15" x14ac:dyDescent="0.2">
      <c r="B89" s="187" t="str">
        <f t="shared" si="14"/>
        <v/>
      </c>
      <c r="C89" s="188" t="str">
        <f t="shared" si="14"/>
        <v/>
      </c>
      <c r="D89" s="51">
        <f t="shared" si="15"/>
        <v>0</v>
      </c>
      <c r="E89" s="52"/>
      <c r="F89" s="49">
        <f>(D89/12)*Input!D120</f>
        <v>0</v>
      </c>
      <c r="G89" s="97" t="str">
        <f t="shared" si="16"/>
        <v/>
      </c>
      <c r="H89" s="49">
        <f>(IF(ISNA(((VLOOKUP(B89,treatm_in,3,FALSE))*(1+(VLOOKUP(B89,treatm_in,7,FALSE)))/O89)*Input!$C$97),0,(((VLOOKUP(B89,treatm_in,3,FALSE))*(1+(VLOOKUP(B89,treatm_in,7,FALSE)))/O89)*Input!$C$97)))+(IF(ISNA(((VLOOKUP(B89,treatm_out,3,FALSE))*(1+(VLOOKUP(B89,treatm_out,7,FALSE)))/O89)*Input!$C$98),0,(((VLOOKUP(B89,treatm_out,3,FALSE))*(1+(VLOOKUP(B89,treatm_out,7,FALSE)))/O89)*Input!$C$98)))</f>
        <v>0</v>
      </c>
      <c r="I89" s="97" t="str">
        <f t="shared" si="17"/>
        <v/>
      </c>
      <c r="J89" s="49">
        <f>Input!L120</f>
        <v>0</v>
      </c>
      <c r="K89" s="91" t="str">
        <f t="shared" si="18"/>
        <v/>
      </c>
      <c r="L89" s="50">
        <f t="shared" si="19"/>
        <v>0</v>
      </c>
      <c r="M89" s="100" t="str">
        <f t="shared" si="20"/>
        <v/>
      </c>
      <c r="O89" s="89" t="str">
        <f t="shared" si="13"/>
        <v/>
      </c>
    </row>
    <row r="90" spans="2:15" x14ac:dyDescent="0.2">
      <c r="B90" s="187" t="str">
        <f t="shared" si="14"/>
        <v/>
      </c>
      <c r="C90" s="188" t="str">
        <f t="shared" si="14"/>
        <v/>
      </c>
      <c r="D90" s="51">
        <f t="shared" si="15"/>
        <v>0</v>
      </c>
      <c r="E90" s="52"/>
      <c r="F90" s="49">
        <f>(D90/12)*Input!D121</f>
        <v>0</v>
      </c>
      <c r="G90" s="97" t="str">
        <f t="shared" si="16"/>
        <v/>
      </c>
      <c r="H90" s="49">
        <f>(IF(ISNA(((VLOOKUP(B90,treatm_in,3,FALSE))*(1+(VLOOKUP(B90,treatm_in,7,FALSE)))/O90)*Input!$C$97),0,(((VLOOKUP(B90,treatm_in,3,FALSE))*(1+(VLOOKUP(B90,treatm_in,7,FALSE)))/O90)*Input!$C$97)))+(IF(ISNA(((VLOOKUP(B90,treatm_out,3,FALSE))*(1+(VLOOKUP(B90,treatm_out,7,FALSE)))/O90)*Input!$C$98),0,(((VLOOKUP(B90,treatm_out,3,FALSE))*(1+(VLOOKUP(B90,treatm_out,7,FALSE)))/O90)*Input!$C$98)))</f>
        <v>0</v>
      </c>
      <c r="I90" s="97" t="str">
        <f t="shared" si="17"/>
        <v/>
      </c>
      <c r="J90" s="49">
        <f>Input!L121</f>
        <v>0</v>
      </c>
      <c r="K90" s="91" t="str">
        <f t="shared" si="18"/>
        <v/>
      </c>
      <c r="L90" s="50">
        <f t="shared" si="19"/>
        <v>0</v>
      </c>
      <c r="M90" s="100" t="str">
        <f t="shared" si="20"/>
        <v/>
      </c>
      <c r="O90" s="89" t="str">
        <f t="shared" si="13"/>
        <v/>
      </c>
    </row>
    <row r="91" spans="2:15" x14ac:dyDescent="0.2">
      <c r="B91" s="187" t="str">
        <f t="shared" si="14"/>
        <v/>
      </c>
      <c r="C91" s="188" t="str">
        <f t="shared" si="14"/>
        <v/>
      </c>
      <c r="D91" s="51">
        <f t="shared" si="15"/>
        <v>0</v>
      </c>
      <c r="E91" s="52"/>
      <c r="F91" s="49">
        <f>(D91/12)*Input!D122</f>
        <v>0</v>
      </c>
      <c r="G91" s="97" t="str">
        <f t="shared" si="16"/>
        <v/>
      </c>
      <c r="H91" s="49">
        <f>(IF(ISNA(((VLOOKUP(B91,treatm_in,3,FALSE))*(1+(VLOOKUP(B91,treatm_in,7,FALSE)))/O91)*Input!$C$97),0,(((VLOOKUP(B91,treatm_in,3,FALSE))*(1+(VLOOKUP(B91,treatm_in,7,FALSE)))/O91)*Input!$C$97)))+(IF(ISNA(((VLOOKUP(B91,treatm_out,3,FALSE))*(1+(VLOOKUP(B91,treatm_out,7,FALSE)))/O91)*Input!$C$98),0,(((VLOOKUP(B91,treatm_out,3,FALSE))*(1+(VLOOKUP(B91,treatm_out,7,FALSE)))/O91)*Input!$C$98)))</f>
        <v>0</v>
      </c>
      <c r="I91" s="97" t="str">
        <f t="shared" si="17"/>
        <v/>
      </c>
      <c r="J91" s="49">
        <f>Input!L122</f>
        <v>0</v>
      </c>
      <c r="K91" s="91" t="str">
        <f t="shared" si="18"/>
        <v/>
      </c>
      <c r="L91" s="50">
        <f t="shared" si="19"/>
        <v>0</v>
      </c>
      <c r="M91" s="100" t="str">
        <f t="shared" si="20"/>
        <v/>
      </c>
      <c r="O91" s="89" t="str">
        <f t="shared" si="13"/>
        <v/>
      </c>
    </row>
    <row r="92" spans="2:15" x14ac:dyDescent="0.2">
      <c r="B92" s="187" t="str">
        <f t="shared" si="14"/>
        <v/>
      </c>
      <c r="C92" s="188" t="str">
        <f t="shared" si="14"/>
        <v/>
      </c>
      <c r="D92" s="51">
        <f t="shared" si="15"/>
        <v>0</v>
      </c>
      <c r="E92" s="52"/>
      <c r="F92" s="49">
        <f>(D92/12)*Input!D123</f>
        <v>0</v>
      </c>
      <c r="G92" s="97" t="str">
        <f t="shared" si="16"/>
        <v/>
      </c>
      <c r="H92" s="49">
        <f>(IF(ISNA(((VLOOKUP(B92,treatm_in,3,FALSE))*(1+(VLOOKUP(B92,treatm_in,7,FALSE)))/O92)*Input!$C$97),0,(((VLOOKUP(B92,treatm_in,3,FALSE))*(1+(VLOOKUP(B92,treatm_in,7,FALSE)))/O92)*Input!$C$97)))+(IF(ISNA(((VLOOKUP(B92,treatm_out,3,FALSE))*(1+(VLOOKUP(B92,treatm_out,7,FALSE)))/O92)*Input!$C$98),0,(((VLOOKUP(B92,treatm_out,3,FALSE))*(1+(VLOOKUP(B92,treatm_out,7,FALSE)))/O92)*Input!$C$98)))</f>
        <v>0</v>
      </c>
      <c r="I92" s="97" t="str">
        <f t="shared" si="17"/>
        <v/>
      </c>
      <c r="J92" s="49">
        <f>Input!L123</f>
        <v>0</v>
      </c>
      <c r="K92" s="91" t="str">
        <f t="shared" si="18"/>
        <v/>
      </c>
      <c r="L92" s="50">
        <f t="shared" si="19"/>
        <v>0</v>
      </c>
      <c r="M92" s="100" t="str">
        <f t="shared" si="20"/>
        <v/>
      </c>
      <c r="O92" s="89" t="str">
        <f t="shared" si="13"/>
        <v/>
      </c>
    </row>
    <row r="93" spans="2:15" x14ac:dyDescent="0.2">
      <c r="B93" s="187" t="str">
        <f t="shared" si="14"/>
        <v/>
      </c>
      <c r="C93" s="188" t="str">
        <f t="shared" si="14"/>
        <v/>
      </c>
      <c r="D93" s="51">
        <f t="shared" si="15"/>
        <v>0</v>
      </c>
      <c r="E93" s="52"/>
      <c r="F93" s="49">
        <f>(D93/12)*Input!D124</f>
        <v>0</v>
      </c>
      <c r="G93" s="97" t="str">
        <f t="shared" si="16"/>
        <v/>
      </c>
      <c r="H93" s="49">
        <f>(IF(ISNA(((VLOOKUP(B93,treatm_in,3,FALSE))*(1+(VLOOKUP(B93,treatm_in,7,FALSE)))/O93)*Input!$C$97),0,(((VLOOKUP(B93,treatm_in,3,FALSE))*(1+(VLOOKUP(B93,treatm_in,7,FALSE)))/O93)*Input!$C$97)))+(IF(ISNA(((VLOOKUP(B93,treatm_out,3,FALSE))*(1+(VLOOKUP(B93,treatm_out,7,FALSE)))/O93)*Input!$C$98),0,(((VLOOKUP(B93,treatm_out,3,FALSE))*(1+(VLOOKUP(B93,treatm_out,7,FALSE)))/O93)*Input!$C$98)))</f>
        <v>0</v>
      </c>
      <c r="I93" s="97" t="str">
        <f t="shared" si="17"/>
        <v/>
      </c>
      <c r="J93" s="49">
        <f>Input!L124</f>
        <v>0</v>
      </c>
      <c r="K93" s="91" t="str">
        <f t="shared" si="18"/>
        <v/>
      </c>
      <c r="L93" s="50">
        <f t="shared" si="19"/>
        <v>0</v>
      </c>
      <c r="M93" s="100" t="str">
        <f t="shared" si="20"/>
        <v/>
      </c>
      <c r="O93" s="89" t="str">
        <f t="shared" si="13"/>
        <v/>
      </c>
    </row>
    <row r="94" spans="2:15" x14ac:dyDescent="0.2">
      <c r="B94" s="187" t="str">
        <f t="shared" si="14"/>
        <v/>
      </c>
      <c r="C94" s="188" t="str">
        <f t="shared" si="14"/>
        <v/>
      </c>
      <c r="D94" s="51">
        <f t="shared" si="15"/>
        <v>0</v>
      </c>
      <c r="E94" s="52"/>
      <c r="F94" s="49">
        <f>(D94/12)*Input!D125</f>
        <v>0</v>
      </c>
      <c r="G94" s="97" t="str">
        <f t="shared" si="16"/>
        <v/>
      </c>
      <c r="H94" s="49">
        <f>(IF(ISNA(((VLOOKUP(B94,treatm_in,3,FALSE))*(1+(VLOOKUP(B94,treatm_in,7,FALSE)))/O94)*Input!$C$97),0,(((VLOOKUP(B94,treatm_in,3,FALSE))*(1+(VLOOKUP(B94,treatm_in,7,FALSE)))/O94)*Input!$C$97)))+(IF(ISNA(((VLOOKUP(B94,treatm_out,3,FALSE))*(1+(VLOOKUP(B94,treatm_out,7,FALSE)))/O94)*Input!$C$98),0,(((VLOOKUP(B94,treatm_out,3,FALSE))*(1+(VLOOKUP(B94,treatm_out,7,FALSE)))/O94)*Input!$C$98)))</f>
        <v>0</v>
      </c>
      <c r="I94" s="97" t="str">
        <f t="shared" si="17"/>
        <v/>
      </c>
      <c r="J94" s="49">
        <f>Input!L125</f>
        <v>0</v>
      </c>
      <c r="K94" s="91" t="str">
        <f t="shared" si="18"/>
        <v/>
      </c>
      <c r="L94" s="50">
        <f t="shared" si="19"/>
        <v>0</v>
      </c>
      <c r="M94" s="100" t="str">
        <f t="shared" si="20"/>
        <v/>
      </c>
      <c r="O94" s="89" t="str">
        <f t="shared" si="13"/>
        <v/>
      </c>
    </row>
    <row r="95" spans="2:15" x14ac:dyDescent="0.2">
      <c r="B95" s="187" t="str">
        <f t="shared" si="14"/>
        <v/>
      </c>
      <c r="C95" s="188" t="str">
        <f t="shared" si="14"/>
        <v/>
      </c>
      <c r="D95" s="51">
        <f t="shared" si="15"/>
        <v>0</v>
      </c>
      <c r="E95" s="52"/>
      <c r="F95" s="49">
        <f>(D95/12)*Input!D126</f>
        <v>0</v>
      </c>
      <c r="G95" s="97" t="str">
        <f t="shared" si="16"/>
        <v/>
      </c>
      <c r="H95" s="49">
        <f>(IF(ISNA(((VLOOKUP(B95,treatm_in,3,FALSE))*(1+(VLOOKUP(B95,treatm_in,7,FALSE)))/O95)*Input!$C$97),0,(((VLOOKUP(B95,treatm_in,3,FALSE))*(1+(VLOOKUP(B95,treatm_in,7,FALSE)))/O95)*Input!$C$97)))+(IF(ISNA(((VLOOKUP(B95,treatm_out,3,FALSE))*(1+(VLOOKUP(B95,treatm_out,7,FALSE)))/O95)*Input!$C$98),0,(((VLOOKUP(B95,treatm_out,3,FALSE))*(1+(VLOOKUP(B95,treatm_out,7,FALSE)))/O95)*Input!$C$98)))</f>
        <v>0</v>
      </c>
      <c r="I95" s="97" t="str">
        <f t="shared" si="17"/>
        <v/>
      </c>
      <c r="J95" s="49">
        <f>Input!L126</f>
        <v>0</v>
      </c>
      <c r="K95" s="91" t="str">
        <f t="shared" si="18"/>
        <v/>
      </c>
      <c r="L95" s="50">
        <f t="shared" si="19"/>
        <v>0</v>
      </c>
      <c r="M95" s="100" t="str">
        <f t="shared" si="20"/>
        <v/>
      </c>
      <c r="O95" s="89" t="str">
        <f t="shared" si="13"/>
        <v/>
      </c>
    </row>
    <row r="96" spans="2:15" x14ac:dyDescent="0.2">
      <c r="B96" s="187" t="str">
        <f t="shared" si="14"/>
        <v/>
      </c>
      <c r="C96" s="188" t="str">
        <f t="shared" si="14"/>
        <v/>
      </c>
      <c r="D96" s="51">
        <f t="shared" si="15"/>
        <v>0</v>
      </c>
      <c r="E96" s="52"/>
      <c r="F96" s="49">
        <f>(D96/12)*Input!D127</f>
        <v>0</v>
      </c>
      <c r="G96" s="97" t="str">
        <f t="shared" si="16"/>
        <v/>
      </c>
      <c r="H96" s="49">
        <f>(IF(ISNA(((VLOOKUP(B96,treatm_in,3,FALSE))*(1+(VLOOKUP(B96,treatm_in,7,FALSE)))/O96)*Input!$C$97),0,(((VLOOKUP(B96,treatm_in,3,FALSE))*(1+(VLOOKUP(B96,treatm_in,7,FALSE)))/O96)*Input!$C$97)))+(IF(ISNA(((VLOOKUP(B96,treatm_out,3,FALSE))*(1+(VLOOKUP(B96,treatm_out,7,FALSE)))/O96)*Input!$C$98),0,(((VLOOKUP(B96,treatm_out,3,FALSE))*(1+(VLOOKUP(B96,treatm_out,7,FALSE)))/O96)*Input!$C$98)))</f>
        <v>0</v>
      </c>
      <c r="I96" s="97" t="str">
        <f t="shared" si="17"/>
        <v/>
      </c>
      <c r="J96" s="49">
        <f>Input!L127</f>
        <v>0</v>
      </c>
      <c r="K96" s="91" t="str">
        <f t="shared" si="18"/>
        <v/>
      </c>
      <c r="L96" s="50">
        <f t="shared" si="19"/>
        <v>0</v>
      </c>
      <c r="M96" s="100" t="str">
        <f t="shared" si="20"/>
        <v/>
      </c>
      <c r="O96" s="89" t="str">
        <f t="shared" si="13"/>
        <v/>
      </c>
    </row>
    <row r="97" spans="1:15" x14ac:dyDescent="0.2">
      <c r="B97" s="187" t="str">
        <f t="shared" si="14"/>
        <v/>
      </c>
      <c r="C97" s="188" t="str">
        <f t="shared" si="14"/>
        <v/>
      </c>
      <c r="D97" s="51">
        <f t="shared" si="15"/>
        <v>0</v>
      </c>
      <c r="E97" s="52"/>
      <c r="F97" s="49">
        <f>(D97/12)*Input!D128</f>
        <v>0</v>
      </c>
      <c r="G97" s="97" t="str">
        <f t="shared" si="16"/>
        <v/>
      </c>
      <c r="H97" s="49">
        <f>(IF(ISNA(((VLOOKUP(B97,treatm_in,3,FALSE))*(1+(VLOOKUP(B97,treatm_in,7,FALSE)))/O97)*Input!$C$97),0,(((VLOOKUP(B97,treatm_in,3,FALSE))*(1+(VLOOKUP(B97,treatm_in,7,FALSE)))/O97)*Input!$C$97)))+(IF(ISNA(((VLOOKUP(B97,treatm_out,3,FALSE))*(1+(VLOOKUP(B97,treatm_out,7,FALSE)))/O97)*Input!$C$98),0,(((VLOOKUP(B97,treatm_out,3,FALSE))*(1+(VLOOKUP(B97,treatm_out,7,FALSE)))/O97)*Input!$C$98)))</f>
        <v>0</v>
      </c>
      <c r="I97" s="97" t="str">
        <f t="shared" si="17"/>
        <v/>
      </c>
      <c r="J97" s="49">
        <f>Input!L128</f>
        <v>0</v>
      </c>
      <c r="K97" s="91" t="str">
        <f t="shared" si="18"/>
        <v/>
      </c>
      <c r="L97" s="50">
        <f t="shared" si="19"/>
        <v>0</v>
      </c>
      <c r="M97" s="100" t="str">
        <f t="shared" si="20"/>
        <v/>
      </c>
      <c r="O97" s="89" t="str">
        <f t="shared" si="13"/>
        <v/>
      </c>
    </row>
    <row r="98" spans="1:15" x14ac:dyDescent="0.2">
      <c r="B98" s="187" t="str">
        <f t="shared" si="14"/>
        <v/>
      </c>
      <c r="C98" s="188" t="str">
        <f t="shared" si="14"/>
        <v/>
      </c>
      <c r="D98" s="51">
        <f t="shared" si="15"/>
        <v>0</v>
      </c>
      <c r="E98" s="52"/>
      <c r="F98" s="49">
        <f>(D98/12)*Input!D129</f>
        <v>0</v>
      </c>
      <c r="G98" s="97" t="str">
        <f t="shared" si="16"/>
        <v/>
      </c>
      <c r="H98" s="49">
        <f>(IF(ISNA(((VLOOKUP(B98,treatm_in,3,FALSE))*(1+(VLOOKUP(B98,treatm_in,7,FALSE)))/O98)*Input!$C$97),0,(((VLOOKUP(B98,treatm_in,3,FALSE))*(1+(VLOOKUP(B98,treatm_in,7,FALSE)))/O98)*Input!$C$97)))+(IF(ISNA(((VLOOKUP(B98,treatm_out,3,FALSE))*(1+(VLOOKUP(B98,treatm_out,7,FALSE)))/O98)*Input!$C$98),0,(((VLOOKUP(B98,treatm_out,3,FALSE))*(1+(VLOOKUP(B98,treatm_out,7,FALSE)))/O98)*Input!$C$98)))</f>
        <v>0</v>
      </c>
      <c r="I98" s="97" t="str">
        <f t="shared" si="17"/>
        <v/>
      </c>
      <c r="J98" s="49">
        <f>Input!L129</f>
        <v>0</v>
      </c>
      <c r="K98" s="91" t="str">
        <f t="shared" si="18"/>
        <v/>
      </c>
      <c r="L98" s="50">
        <f t="shared" si="19"/>
        <v>0</v>
      </c>
      <c r="M98" s="100" t="str">
        <f t="shared" si="20"/>
        <v/>
      </c>
      <c r="O98" s="89" t="str">
        <f t="shared" si="13"/>
        <v/>
      </c>
    </row>
    <row r="99" spans="1:15" x14ac:dyDescent="0.2">
      <c r="B99" s="187" t="str">
        <f t="shared" si="14"/>
        <v/>
      </c>
      <c r="C99" s="188" t="str">
        <f t="shared" si="14"/>
        <v/>
      </c>
      <c r="D99" s="51">
        <f t="shared" si="15"/>
        <v>0</v>
      </c>
      <c r="E99" s="52"/>
      <c r="F99" s="49">
        <f>(D99/12)*Input!D130</f>
        <v>0</v>
      </c>
      <c r="G99" s="97" t="str">
        <f t="shared" si="16"/>
        <v/>
      </c>
      <c r="H99" s="49">
        <f>(IF(ISNA(((VLOOKUP(B99,treatm_in,3,FALSE))*(1+(VLOOKUP(B99,treatm_in,7,FALSE)))/O99)*Input!$C$97),0,(((VLOOKUP(B99,treatm_in,3,FALSE))*(1+(VLOOKUP(B99,treatm_in,7,FALSE)))/O99)*Input!$C$97)))+(IF(ISNA(((VLOOKUP(B99,treatm_out,3,FALSE))*(1+(VLOOKUP(B99,treatm_out,7,FALSE)))/O99)*Input!$C$98),0,(((VLOOKUP(B99,treatm_out,3,FALSE))*(1+(VLOOKUP(B99,treatm_out,7,FALSE)))/O99)*Input!$C$98)))</f>
        <v>0</v>
      </c>
      <c r="I99" s="97" t="str">
        <f t="shared" si="17"/>
        <v/>
      </c>
      <c r="J99" s="49">
        <f>Input!L130</f>
        <v>0</v>
      </c>
      <c r="K99" s="91" t="str">
        <f t="shared" si="18"/>
        <v/>
      </c>
      <c r="L99" s="50">
        <f t="shared" si="19"/>
        <v>0</v>
      </c>
      <c r="M99" s="100" t="str">
        <f t="shared" si="20"/>
        <v/>
      </c>
      <c r="O99" s="89" t="str">
        <f t="shared" si="13"/>
        <v/>
      </c>
    </row>
    <row r="100" spans="1:15" x14ac:dyDescent="0.2">
      <c r="B100" s="187" t="str">
        <f t="shared" si="14"/>
        <v/>
      </c>
      <c r="C100" s="188" t="str">
        <f t="shared" si="14"/>
        <v/>
      </c>
      <c r="D100" s="51">
        <f t="shared" si="15"/>
        <v>0</v>
      </c>
      <c r="E100" s="52"/>
      <c r="F100" s="49">
        <f>(D100/12)*Input!D131</f>
        <v>0</v>
      </c>
      <c r="G100" s="97" t="str">
        <f t="shared" si="16"/>
        <v/>
      </c>
      <c r="H100" s="49">
        <f>(IF(ISNA(((VLOOKUP(B100,treatm_in,3,FALSE))*(1+(VLOOKUP(B100,treatm_in,7,FALSE)))/O100)*Input!$C$97),0,(((VLOOKUP(B100,treatm_in,3,FALSE))*(1+(VLOOKUP(B100,treatm_in,7,FALSE)))/O100)*Input!$C$97)))+(IF(ISNA(((VLOOKUP(B100,treatm_out,3,FALSE))*(1+(VLOOKUP(B100,treatm_out,7,FALSE)))/O100)*Input!$C$98),0,(((VLOOKUP(B100,treatm_out,3,FALSE))*(1+(VLOOKUP(B100,treatm_out,7,FALSE)))/O100)*Input!$C$98)))</f>
        <v>0</v>
      </c>
      <c r="I100" s="97" t="str">
        <f t="shared" si="17"/>
        <v/>
      </c>
      <c r="J100" s="49">
        <f>Input!L131</f>
        <v>0</v>
      </c>
      <c r="K100" s="91" t="str">
        <f t="shared" si="18"/>
        <v/>
      </c>
      <c r="L100" s="50">
        <f t="shared" si="19"/>
        <v>0</v>
      </c>
      <c r="M100" s="100" t="str">
        <f t="shared" si="20"/>
        <v/>
      </c>
      <c r="O100" s="89" t="str">
        <f t="shared" si="13"/>
        <v/>
      </c>
    </row>
    <row r="101" spans="1:15" x14ac:dyDescent="0.2">
      <c r="B101" s="187" t="str">
        <f t="shared" si="14"/>
        <v/>
      </c>
      <c r="C101" s="188" t="str">
        <f t="shared" si="14"/>
        <v/>
      </c>
      <c r="D101" s="51">
        <f t="shared" si="15"/>
        <v>0</v>
      </c>
      <c r="E101" s="52"/>
      <c r="F101" s="49">
        <f>(D101/12)*Input!D132</f>
        <v>0</v>
      </c>
      <c r="G101" s="97" t="str">
        <f t="shared" si="16"/>
        <v/>
      </c>
      <c r="H101" s="49">
        <f>(IF(ISNA(((VLOOKUP(B101,treatm_in,3,FALSE))*(1+(VLOOKUP(B101,treatm_in,7,FALSE)))/O101)*Input!$C$97),0,(((VLOOKUP(B101,treatm_in,3,FALSE))*(1+(VLOOKUP(B101,treatm_in,7,FALSE)))/O101)*Input!$C$97)))+(IF(ISNA(((VLOOKUP(B101,treatm_out,3,FALSE))*(1+(VLOOKUP(B101,treatm_out,7,FALSE)))/O101)*Input!$C$98),0,(((VLOOKUP(B101,treatm_out,3,FALSE))*(1+(VLOOKUP(B101,treatm_out,7,FALSE)))/O101)*Input!$C$98)))</f>
        <v>0</v>
      </c>
      <c r="I101" s="97" t="str">
        <f t="shared" si="17"/>
        <v/>
      </c>
      <c r="J101" s="49">
        <f>Input!L132</f>
        <v>0</v>
      </c>
      <c r="K101" s="91" t="str">
        <f t="shared" si="18"/>
        <v/>
      </c>
      <c r="L101" s="50">
        <f t="shared" si="19"/>
        <v>0</v>
      </c>
      <c r="M101" s="100" t="str">
        <f t="shared" si="20"/>
        <v/>
      </c>
      <c r="O101" s="89" t="str">
        <f t="shared" si="13"/>
        <v/>
      </c>
    </row>
    <row r="102" spans="1:15" ht="13.5" thickBot="1" x14ac:dyDescent="0.25">
      <c r="B102" s="135" t="str">
        <f t="shared" si="14"/>
        <v/>
      </c>
      <c r="C102" s="189" t="str">
        <f t="shared" si="14"/>
        <v/>
      </c>
      <c r="D102" s="92">
        <f t="shared" si="15"/>
        <v>0</v>
      </c>
      <c r="E102" s="93"/>
      <c r="F102" s="94">
        <f>(D102/12)*Input!D133</f>
        <v>0</v>
      </c>
      <c r="G102" s="97" t="str">
        <f t="shared" si="16"/>
        <v/>
      </c>
      <c r="H102" s="94">
        <f>(IF(ISNA(((VLOOKUP(B102,treatm_in,3,FALSE))*(1+(VLOOKUP(B102,treatm_in,7,FALSE)))/O102)*Input!$C$97),0,(((VLOOKUP(B102,treatm_in,3,FALSE))*(1+(VLOOKUP(B102,treatm_in,7,FALSE)))/O102)*Input!$C$97)))+(IF(ISNA(((VLOOKUP(B102,treatm_out,3,FALSE))*(1+(VLOOKUP(B102,treatm_out,7,FALSE)))/O102)*Input!$C$98),0,(((VLOOKUP(B102,treatm_out,3,FALSE))*(1+(VLOOKUP(B102,treatm_out,7,FALSE)))/O102)*Input!$C$98)))</f>
        <v>0</v>
      </c>
      <c r="I102" s="97" t="str">
        <f t="shared" si="17"/>
        <v/>
      </c>
      <c r="J102" s="94">
        <f>Input!L133</f>
        <v>0</v>
      </c>
      <c r="K102" s="91" t="str">
        <f t="shared" si="18"/>
        <v/>
      </c>
      <c r="L102" s="95">
        <f t="shared" si="19"/>
        <v>0</v>
      </c>
      <c r="M102" s="101" t="str">
        <f t="shared" si="20"/>
        <v/>
      </c>
      <c r="O102" s="89" t="str">
        <f t="shared" si="13"/>
        <v/>
      </c>
    </row>
    <row r="103" spans="1:15" x14ac:dyDescent="0.2">
      <c r="O103" s="89"/>
    </row>
    <row r="104" spans="1:15" ht="15" x14ac:dyDescent="0.2">
      <c r="A104" s="21" t="s">
        <v>148</v>
      </c>
    </row>
    <row r="105" spans="1:15" ht="21.75" customHeight="1" thickBot="1" x14ac:dyDescent="0.25">
      <c r="A105" s="128"/>
      <c r="B105" s="38" t="s">
        <v>244</v>
      </c>
      <c r="C105" s="128"/>
      <c r="D105" s="128"/>
      <c r="E105" s="38" t="s">
        <v>239</v>
      </c>
      <c r="F105" s="129" t="str">
        <f>IF(Input!B138="","no country!",Input!B138)</f>
        <v>no country!</v>
      </c>
      <c r="G105" s="38" t="s">
        <v>241</v>
      </c>
      <c r="H105" s="129" t="str">
        <f>IF(Input!B144="","no mode!",Input!B144)</f>
        <v>no mode!</v>
      </c>
      <c r="I105" s="38" t="s">
        <v>240</v>
      </c>
      <c r="J105" s="129" t="str">
        <f>IF(Input!B141="","no size!",Input!B141)</f>
        <v>no size!</v>
      </c>
    </row>
    <row r="106" spans="1:15" ht="34.5" thickBot="1" x14ac:dyDescent="0.25">
      <c r="B106" s="102" t="s">
        <v>90</v>
      </c>
      <c r="C106" s="24" t="s">
        <v>23</v>
      </c>
      <c r="D106" s="103" t="s">
        <v>149</v>
      </c>
      <c r="E106" s="448" t="s">
        <v>150</v>
      </c>
      <c r="F106" s="448"/>
      <c r="G106" s="448" t="s">
        <v>269</v>
      </c>
      <c r="H106" s="448"/>
      <c r="I106" s="448" t="s">
        <v>151</v>
      </c>
      <c r="J106" s="457"/>
    </row>
    <row r="107" spans="1:15" x14ac:dyDescent="0.2">
      <c r="B107" s="185" t="str">
        <f t="shared" ref="B107:C131" si="21">B49</f>
        <v>ReSoMal, 42g sachet/1L/CAR-100</v>
      </c>
      <c r="C107" s="186" t="str">
        <f t="shared" si="21"/>
        <v>CAR-100</v>
      </c>
      <c r="D107" s="122">
        <f>IF(L78&lt;0,0,L78)</f>
        <v>0</v>
      </c>
      <c r="E107" s="458">
        <f t="shared" ref="E107:E131" si="22">IF(B107="",0,D107*(INDEX(products_all,MATCH(B107,products_dd,0),10)))</f>
        <v>0</v>
      </c>
      <c r="F107" s="460"/>
      <c r="G107" s="458">
        <f>IF($F$105="no country!",0,(IF(Input!$B$144="Sea",(IF(Input!$B$141="20 foot",(VLOOKUP(Input!$B$138,frttable,3,FALSE))*I136,(VLOOKUP(Input!$B$138,frttable,4,FALSE))*J136)),"Air: see total")))</f>
        <v>0</v>
      </c>
      <c r="H107" s="460"/>
      <c r="I107" s="458">
        <f>IF(Input!$B$144="Sea",E107+G107,0)</f>
        <v>0</v>
      </c>
      <c r="J107" s="459"/>
    </row>
    <row r="108" spans="1:15" ht="24" x14ac:dyDescent="0.2">
      <c r="B108" s="187" t="str">
        <f t="shared" si="21"/>
        <v>F75 Therapeutic diet, sachet 102.5g/CAR-120</v>
      </c>
      <c r="C108" s="188" t="str">
        <f t="shared" si="21"/>
        <v>CAR-120</v>
      </c>
      <c r="D108" s="123">
        <f t="shared" ref="D108:D131" si="23">IF(L79&lt;0,0,L79)</f>
        <v>0</v>
      </c>
      <c r="E108" s="451">
        <f t="shared" si="22"/>
        <v>0</v>
      </c>
      <c r="F108" s="455"/>
      <c r="G108" s="451">
        <f>IF($F$105="no country!",0,(IF(Input!$B$144="Sea",(IF(Input!$B$141="20 foot",(VLOOKUP(Input!$B$138,frttable,3,FALSE))*I137,(VLOOKUP(Input!$B$138,frttable,4,FALSE))*J137)),"Air: see total")))</f>
        <v>0</v>
      </c>
      <c r="H108" s="455"/>
      <c r="I108" s="451">
        <f>IF(Input!$B$144="Sea",E108+G108,0)</f>
        <v>0</v>
      </c>
      <c r="J108" s="452"/>
    </row>
    <row r="109" spans="1:15" x14ac:dyDescent="0.2">
      <c r="B109" s="187" t="str">
        <f t="shared" si="21"/>
        <v>F100 Therapeutic diet, sachet 114g/CAR-90</v>
      </c>
      <c r="C109" s="188" t="str">
        <f t="shared" si="21"/>
        <v>CAR-90</v>
      </c>
      <c r="D109" s="123">
        <f t="shared" si="23"/>
        <v>0</v>
      </c>
      <c r="E109" s="451">
        <f t="shared" si="22"/>
        <v>0</v>
      </c>
      <c r="F109" s="455"/>
      <c r="G109" s="451">
        <f>IF($F$105="no country!",0,(IF(Input!$B$144="Sea",(IF(Input!$B$141="20 foot",(VLOOKUP(Input!$B$138,frttable,3,FALSE))*I138,(VLOOKUP(Input!$B$138,frttable,4,FALSE))*J138)),"Air: see total")))</f>
        <v>0</v>
      </c>
      <c r="H109" s="455"/>
      <c r="I109" s="451">
        <f>IF(Input!$B$144="Sea",E109+G109,0)</f>
        <v>0</v>
      </c>
      <c r="J109" s="452"/>
    </row>
    <row r="110" spans="1:15" x14ac:dyDescent="0.2">
      <c r="B110" s="187" t="str">
        <f t="shared" si="21"/>
        <v>Folic acid 5mg tabs/PAC-1000</v>
      </c>
      <c r="C110" s="188" t="str">
        <f t="shared" si="21"/>
        <v>PAC-1000</v>
      </c>
      <c r="D110" s="123">
        <f t="shared" si="23"/>
        <v>0</v>
      </c>
      <c r="E110" s="451">
        <f t="shared" si="22"/>
        <v>0</v>
      </c>
      <c r="F110" s="455"/>
      <c r="G110" s="451">
        <f>IF($F$105="no country!",0,(IF(Input!$B$144="Sea",(IF(Input!$B$141="20 foot",(VLOOKUP(Input!$B$138,frttable,3,FALSE))*I139,(VLOOKUP(Input!$B$138,frttable,4,FALSE))*J139)),"Air: see total")))</f>
        <v>0</v>
      </c>
      <c r="H110" s="455"/>
      <c r="I110" s="451">
        <f>IF(Input!$B$144="Sea",E110+G110,0)</f>
        <v>0</v>
      </c>
      <c r="J110" s="452"/>
    </row>
    <row r="111" spans="1:15" x14ac:dyDescent="0.2">
      <c r="B111" s="187" t="str">
        <f t="shared" si="21"/>
        <v>Therapeutic spread, sachet 92g/CAR-150</v>
      </c>
      <c r="C111" s="188" t="str">
        <f t="shared" si="21"/>
        <v>CAR-150</v>
      </c>
      <c r="D111" s="123">
        <f t="shared" si="23"/>
        <v>0</v>
      </c>
      <c r="E111" s="451">
        <f t="shared" si="22"/>
        <v>0</v>
      </c>
      <c r="F111" s="455"/>
      <c r="G111" s="451">
        <f>IF($F$105="no country!",0,(IF(Input!$B$144="Sea",(IF(Input!$B$141="20 foot",(VLOOKUP(Input!$B$138,frttable,3,FALSE))*I140,(VLOOKUP(Input!$B$138,frttable,4,FALSE))*J140)),"Air: see total")))</f>
        <v>0</v>
      </c>
      <c r="H111" s="455"/>
      <c r="I111" s="451">
        <f>IF(Input!$B$144="Sea",E111+G111,0)</f>
        <v>0</v>
      </c>
      <c r="J111" s="452"/>
    </row>
    <row r="112" spans="1:15" x14ac:dyDescent="0.2">
      <c r="B112" s="187" t="str">
        <f t="shared" si="21"/>
        <v>Retinol 100,000IU soft gel.caps/PAC-500</v>
      </c>
      <c r="C112" s="188" t="str">
        <f t="shared" si="21"/>
        <v>PAC-500</v>
      </c>
      <c r="D112" s="123">
        <f t="shared" si="23"/>
        <v>0</v>
      </c>
      <c r="E112" s="451">
        <f t="shared" si="22"/>
        <v>0</v>
      </c>
      <c r="F112" s="455"/>
      <c r="G112" s="451">
        <f>IF($F$105="no country!",0,(IF(Input!$B$144="Sea",(IF(Input!$B$141="20 foot",(VLOOKUP(Input!$B$138,frttable,3,FALSE))*I141,(VLOOKUP(Input!$B$138,frttable,4,FALSE))*J141)),"Air: see total")))</f>
        <v>0</v>
      </c>
      <c r="H112" s="455"/>
      <c r="I112" s="451">
        <f>IF(Input!$B$144="Sea",E112+G112,0)</f>
        <v>0</v>
      </c>
      <c r="J112" s="452"/>
    </row>
    <row r="113" spans="2:10" x14ac:dyDescent="0.2">
      <c r="B113" s="187" t="str">
        <f t="shared" si="21"/>
        <v>Retinol 200,000IU soft gel.caps/PAC-500</v>
      </c>
      <c r="C113" s="188" t="str">
        <f t="shared" si="21"/>
        <v>PAC-500</v>
      </c>
      <c r="D113" s="123">
        <f t="shared" si="23"/>
        <v>0</v>
      </c>
      <c r="E113" s="451">
        <f t="shared" si="22"/>
        <v>0</v>
      </c>
      <c r="F113" s="455"/>
      <c r="G113" s="451">
        <f>IF($F$105="no country!",0,(IF(Input!$B$144="Sea",(IF(Input!$B$141="20 foot",(VLOOKUP(Input!$B$138,frttable,3,FALSE))*I142,(VLOOKUP(Input!$B$138,frttable,4,FALSE))*J142)),"Air: see total")))</f>
        <v>0</v>
      </c>
      <c r="H113" s="455"/>
      <c r="I113" s="451">
        <f>IF(Input!$B$144="Sea",E113+G113,0)</f>
        <v>0</v>
      </c>
      <c r="J113" s="452"/>
    </row>
    <row r="114" spans="2:10" x14ac:dyDescent="0.2">
      <c r="B114" s="187" t="str">
        <f t="shared" si="21"/>
        <v>BP100 Therapeutic diet/CAR-9x24x56.8g</v>
      </c>
      <c r="C114" s="188" t="str">
        <f t="shared" si="21"/>
        <v>CAR-9x24</v>
      </c>
      <c r="D114" s="123">
        <f t="shared" si="23"/>
        <v>0</v>
      </c>
      <c r="E114" s="451">
        <f t="shared" si="22"/>
        <v>0</v>
      </c>
      <c r="F114" s="455"/>
      <c r="G114" s="451">
        <f>IF($F$105="no country!",0,(IF(Input!$B$144="Sea",(IF(Input!$B$141="20 foot",(VLOOKUP(Input!$B$138,frttable,3,FALSE))*I143,(VLOOKUP(Input!$B$138,frttable,4,FALSE))*J143)),"Air: see total")))</f>
        <v>0</v>
      </c>
      <c r="H114" s="455"/>
      <c r="I114" s="451">
        <f>IF(Input!$B$144="Sea",E114+G114,0)</f>
        <v>0</v>
      </c>
      <c r="J114" s="452"/>
    </row>
    <row r="115" spans="2:10" x14ac:dyDescent="0.2">
      <c r="B115" s="187" t="str">
        <f t="shared" si="21"/>
        <v>Mebendazole 500 mg tabs/PAC-100</v>
      </c>
      <c r="C115" s="188" t="str">
        <f t="shared" si="21"/>
        <v>PAC-100</v>
      </c>
      <c r="D115" s="123">
        <f t="shared" si="23"/>
        <v>0</v>
      </c>
      <c r="E115" s="451">
        <f t="shared" si="22"/>
        <v>0</v>
      </c>
      <c r="F115" s="455"/>
      <c r="G115" s="451">
        <f>IF($F$105="no country!",0,(IF(Input!$B$144="Sea",(IF(Input!$B$141="20 foot",(VLOOKUP(Input!$B$138,frttable,3,FALSE))*I144,(VLOOKUP(Input!$B$138,frttable,4,FALSE))*J144)),"Air: see total")))</f>
        <v>0</v>
      </c>
      <c r="H115" s="455"/>
      <c r="I115" s="451">
        <f>IF(Input!$B$144="Sea",E115+G115,0)</f>
        <v>0</v>
      </c>
      <c r="J115" s="452"/>
    </row>
    <row r="116" spans="2:10" x14ac:dyDescent="0.2">
      <c r="B116" s="187" t="str">
        <f t="shared" si="21"/>
        <v>Amoxici.pdr/oral sus 125mg/5ml/BOT-100ml</v>
      </c>
      <c r="C116" s="188" t="str">
        <f t="shared" si="21"/>
        <v>BOT-100ml</v>
      </c>
      <c r="D116" s="123">
        <f t="shared" si="23"/>
        <v>0</v>
      </c>
      <c r="E116" s="451">
        <f t="shared" si="22"/>
        <v>0</v>
      </c>
      <c r="F116" s="455"/>
      <c r="G116" s="451">
        <f>IF($F$105="no country!",0,(IF(Input!$B$144="Sea",(IF(Input!$B$141="20 foot",(VLOOKUP(Input!$B$138,frttable,3,FALSE))*I145,(VLOOKUP(Input!$B$138,frttable,4,FALSE))*J145)),"Air: see total")))</f>
        <v>0</v>
      </c>
      <c r="H116" s="455"/>
      <c r="I116" s="451">
        <f>IF(Input!$B$144="Sea",E116+G116,0)</f>
        <v>0</v>
      </c>
      <c r="J116" s="452"/>
    </row>
    <row r="117" spans="2:10" x14ac:dyDescent="0.2">
      <c r="B117" s="187" t="str">
        <f t="shared" si="21"/>
        <v/>
      </c>
      <c r="C117" s="188" t="str">
        <f t="shared" si="21"/>
        <v/>
      </c>
      <c r="D117" s="123">
        <f t="shared" si="23"/>
        <v>0</v>
      </c>
      <c r="E117" s="451">
        <f t="shared" si="22"/>
        <v>0</v>
      </c>
      <c r="F117" s="455"/>
      <c r="G117" s="451">
        <f>IF($F$105="no country!",0,(IF(Input!$B$144="Sea",(IF(Input!$B$141="20 foot",(VLOOKUP(Input!$B$138,frttable,3,FALSE))*I146,(VLOOKUP(Input!$B$138,frttable,4,FALSE))*J146)),"Air: see total")))</f>
        <v>0</v>
      </c>
      <c r="H117" s="455"/>
      <c r="I117" s="451">
        <f>IF(Input!$B$144="Sea",E117+G117,0)</f>
        <v>0</v>
      </c>
      <c r="J117" s="452"/>
    </row>
    <row r="118" spans="2:10" x14ac:dyDescent="0.2">
      <c r="B118" s="187" t="str">
        <f t="shared" si="21"/>
        <v/>
      </c>
      <c r="C118" s="188" t="str">
        <f t="shared" si="21"/>
        <v/>
      </c>
      <c r="D118" s="123">
        <f t="shared" si="23"/>
        <v>0</v>
      </c>
      <c r="E118" s="451">
        <f t="shared" si="22"/>
        <v>0</v>
      </c>
      <c r="F118" s="455"/>
      <c r="G118" s="451">
        <f>IF($F$105="no country!",0,(IF(Input!$B$144="Sea",(IF(Input!$B$141="20 foot",(VLOOKUP(Input!$B$138,frttable,3,FALSE))*I147,(VLOOKUP(Input!$B$138,frttable,4,FALSE))*J147)),"Air: see total")))</f>
        <v>0</v>
      </c>
      <c r="H118" s="455"/>
      <c r="I118" s="451">
        <f>IF(Input!$B$144="Sea",E118+G118,0)</f>
        <v>0</v>
      </c>
      <c r="J118" s="452"/>
    </row>
    <row r="119" spans="2:10" x14ac:dyDescent="0.2">
      <c r="B119" s="187" t="str">
        <f t="shared" si="21"/>
        <v/>
      </c>
      <c r="C119" s="188" t="str">
        <f t="shared" si="21"/>
        <v/>
      </c>
      <c r="D119" s="123">
        <f t="shared" si="23"/>
        <v>0</v>
      </c>
      <c r="E119" s="451">
        <f t="shared" si="22"/>
        <v>0</v>
      </c>
      <c r="F119" s="455"/>
      <c r="G119" s="451">
        <f>IF($F$105="no country!",0,(IF(Input!$B$144="Sea",(IF(Input!$B$141="20 foot",(VLOOKUP(Input!$B$138,frttable,3,FALSE))*I148,(VLOOKUP(Input!$B$138,frttable,4,FALSE))*J148)),"Air: see total")))</f>
        <v>0</v>
      </c>
      <c r="H119" s="455"/>
      <c r="I119" s="451">
        <f>IF(Input!$B$144="Sea",E119+G119,0)</f>
        <v>0</v>
      </c>
      <c r="J119" s="452"/>
    </row>
    <row r="120" spans="2:10" x14ac:dyDescent="0.2">
      <c r="B120" s="187" t="str">
        <f t="shared" si="21"/>
        <v/>
      </c>
      <c r="C120" s="188" t="str">
        <f t="shared" si="21"/>
        <v/>
      </c>
      <c r="D120" s="123">
        <f t="shared" si="23"/>
        <v>0</v>
      </c>
      <c r="E120" s="451">
        <f t="shared" si="22"/>
        <v>0</v>
      </c>
      <c r="F120" s="455"/>
      <c r="G120" s="451">
        <f>IF($F$105="no country!",0,(IF(Input!$B$144="Sea",(IF(Input!$B$141="20 foot",(VLOOKUP(Input!$B$138,frttable,3,FALSE))*I149,(VLOOKUP(Input!$B$138,frttable,4,FALSE))*J149)),"Air: see total")))</f>
        <v>0</v>
      </c>
      <c r="H120" s="455"/>
      <c r="I120" s="451">
        <f>IF(Input!$B$144="Sea",E120+G120,0)</f>
        <v>0</v>
      </c>
      <c r="J120" s="452"/>
    </row>
    <row r="121" spans="2:10" x14ac:dyDescent="0.2">
      <c r="B121" s="187" t="str">
        <f t="shared" si="21"/>
        <v/>
      </c>
      <c r="C121" s="188" t="str">
        <f t="shared" si="21"/>
        <v/>
      </c>
      <c r="D121" s="123">
        <f t="shared" si="23"/>
        <v>0</v>
      </c>
      <c r="E121" s="451">
        <f t="shared" si="22"/>
        <v>0</v>
      </c>
      <c r="F121" s="455"/>
      <c r="G121" s="451">
        <f>IF($F$105="no country!",0,(IF(Input!$B$144="Sea",(IF(Input!$B$141="20 foot",(VLOOKUP(Input!$B$138,frttable,3,FALSE))*I150,(VLOOKUP(Input!$B$138,frttable,4,FALSE))*J150)),"Air: see total")))</f>
        <v>0</v>
      </c>
      <c r="H121" s="455"/>
      <c r="I121" s="451">
        <f>IF(Input!$B$144="Sea",E121+G121,0)</f>
        <v>0</v>
      </c>
      <c r="J121" s="452"/>
    </row>
    <row r="122" spans="2:10" x14ac:dyDescent="0.2">
      <c r="B122" s="187" t="str">
        <f t="shared" si="21"/>
        <v/>
      </c>
      <c r="C122" s="188" t="str">
        <f t="shared" si="21"/>
        <v/>
      </c>
      <c r="D122" s="123">
        <f t="shared" si="23"/>
        <v>0</v>
      </c>
      <c r="E122" s="451">
        <f t="shared" si="22"/>
        <v>0</v>
      </c>
      <c r="F122" s="455"/>
      <c r="G122" s="451">
        <f>IF($F$105="no country!",0,(IF(Input!$B$144="Sea",(IF(Input!$B$141="20 foot",(VLOOKUP(Input!$B$138,frttable,3,FALSE))*I151,(VLOOKUP(Input!$B$138,frttable,4,FALSE))*J151)),"Air: see total")))</f>
        <v>0</v>
      </c>
      <c r="H122" s="455"/>
      <c r="I122" s="451">
        <f>IF(Input!$B$144="Sea",E122+G122,0)</f>
        <v>0</v>
      </c>
      <c r="J122" s="452"/>
    </row>
    <row r="123" spans="2:10" x14ac:dyDescent="0.2">
      <c r="B123" s="187" t="str">
        <f t="shared" si="21"/>
        <v/>
      </c>
      <c r="C123" s="188" t="str">
        <f t="shared" si="21"/>
        <v/>
      </c>
      <c r="D123" s="123">
        <f t="shared" si="23"/>
        <v>0</v>
      </c>
      <c r="E123" s="451">
        <f t="shared" si="22"/>
        <v>0</v>
      </c>
      <c r="F123" s="455"/>
      <c r="G123" s="451">
        <f>IF($F$105="no country!",0,(IF(Input!$B$144="Sea",(IF(Input!$B$141="20 foot",(VLOOKUP(Input!$B$138,frttable,3,FALSE))*I152,(VLOOKUP(Input!$B$138,frttable,4,FALSE))*J152)),"Air: see total")))</f>
        <v>0</v>
      </c>
      <c r="H123" s="455"/>
      <c r="I123" s="451">
        <f>IF(Input!$B$144="Sea",E123+G123,0)</f>
        <v>0</v>
      </c>
      <c r="J123" s="452"/>
    </row>
    <row r="124" spans="2:10" x14ac:dyDescent="0.2">
      <c r="B124" s="187" t="str">
        <f t="shared" si="21"/>
        <v/>
      </c>
      <c r="C124" s="188" t="str">
        <f t="shared" si="21"/>
        <v/>
      </c>
      <c r="D124" s="123">
        <f t="shared" si="23"/>
        <v>0</v>
      </c>
      <c r="E124" s="451">
        <f t="shared" si="22"/>
        <v>0</v>
      </c>
      <c r="F124" s="455"/>
      <c r="G124" s="451">
        <f>IF($F$105="no country!",0,(IF(Input!$B$144="Sea",(IF(Input!$B$141="20 foot",(VLOOKUP(Input!$B$138,frttable,3,FALSE))*I153,(VLOOKUP(Input!$B$138,frttable,4,FALSE))*J153)),"Air: see total")))</f>
        <v>0</v>
      </c>
      <c r="H124" s="455"/>
      <c r="I124" s="451">
        <f>IF(Input!$B$144="Sea",E124+G124,0)</f>
        <v>0</v>
      </c>
      <c r="J124" s="452"/>
    </row>
    <row r="125" spans="2:10" x14ac:dyDescent="0.2">
      <c r="B125" s="187" t="str">
        <f t="shared" si="21"/>
        <v/>
      </c>
      <c r="C125" s="188" t="str">
        <f t="shared" si="21"/>
        <v/>
      </c>
      <c r="D125" s="123">
        <f t="shared" si="23"/>
        <v>0</v>
      </c>
      <c r="E125" s="451">
        <f t="shared" si="22"/>
        <v>0</v>
      </c>
      <c r="F125" s="455"/>
      <c r="G125" s="451">
        <f>IF($F$105="no country!",0,(IF(Input!$B$144="Sea",(IF(Input!$B$141="20 foot",(VLOOKUP(Input!$B$138,frttable,3,FALSE))*I154,(VLOOKUP(Input!$B$138,frttable,4,FALSE))*J154)),"Air: see total")))</f>
        <v>0</v>
      </c>
      <c r="H125" s="455"/>
      <c r="I125" s="451">
        <f>IF(Input!$B$144="Sea",E125+G125,0)</f>
        <v>0</v>
      </c>
      <c r="J125" s="452"/>
    </row>
    <row r="126" spans="2:10" x14ac:dyDescent="0.2">
      <c r="B126" s="187" t="str">
        <f t="shared" si="21"/>
        <v/>
      </c>
      <c r="C126" s="188" t="str">
        <f t="shared" si="21"/>
        <v/>
      </c>
      <c r="D126" s="123">
        <f t="shared" si="23"/>
        <v>0</v>
      </c>
      <c r="E126" s="451">
        <f t="shared" si="22"/>
        <v>0</v>
      </c>
      <c r="F126" s="455"/>
      <c r="G126" s="451">
        <f>IF($F$105="no country!",0,(IF(Input!$B$144="Sea",(IF(Input!$B$141="20 foot",(VLOOKUP(Input!$B$138,frttable,3,FALSE))*I155,(VLOOKUP(Input!$B$138,frttable,4,FALSE))*J155)),"Air: see total")))</f>
        <v>0</v>
      </c>
      <c r="H126" s="455"/>
      <c r="I126" s="451">
        <f>IF(Input!$B$144="Sea",E126+G126,0)</f>
        <v>0</v>
      </c>
      <c r="J126" s="452"/>
    </row>
    <row r="127" spans="2:10" x14ac:dyDescent="0.2">
      <c r="B127" s="187" t="str">
        <f t="shared" si="21"/>
        <v/>
      </c>
      <c r="C127" s="188" t="str">
        <f t="shared" si="21"/>
        <v/>
      </c>
      <c r="D127" s="123">
        <f t="shared" si="23"/>
        <v>0</v>
      </c>
      <c r="E127" s="451">
        <f t="shared" si="22"/>
        <v>0</v>
      </c>
      <c r="F127" s="455"/>
      <c r="G127" s="451">
        <f>IF($F$105="no country!",0,(IF(Input!$B$144="Sea",(IF(Input!$B$141="20 foot",(VLOOKUP(Input!$B$138,frttable,3,FALSE))*I156,(VLOOKUP(Input!$B$138,frttable,4,FALSE))*J156)),"Air: see total")))</f>
        <v>0</v>
      </c>
      <c r="H127" s="455"/>
      <c r="I127" s="451">
        <f>IF(Input!$B$144="Sea",E127+G127,0)</f>
        <v>0</v>
      </c>
      <c r="J127" s="452"/>
    </row>
    <row r="128" spans="2:10" x14ac:dyDescent="0.2">
      <c r="B128" s="187" t="str">
        <f t="shared" si="21"/>
        <v/>
      </c>
      <c r="C128" s="188" t="str">
        <f t="shared" si="21"/>
        <v/>
      </c>
      <c r="D128" s="123">
        <f t="shared" si="23"/>
        <v>0</v>
      </c>
      <c r="E128" s="451">
        <f t="shared" si="22"/>
        <v>0</v>
      </c>
      <c r="F128" s="455"/>
      <c r="G128" s="451">
        <f>IF($F$105="no country!",0,(IF(Input!$B$144="Sea",(IF(Input!$B$141="20 foot",(VLOOKUP(Input!$B$138,frttable,3,FALSE))*I157,(VLOOKUP(Input!$B$138,frttable,4,FALSE))*J157)),"Air: see total")))</f>
        <v>0</v>
      </c>
      <c r="H128" s="455"/>
      <c r="I128" s="451">
        <f>IF(Input!$B$144="Sea",E128+G128,0)</f>
        <v>0</v>
      </c>
      <c r="J128" s="452"/>
    </row>
    <row r="129" spans="2:12" x14ac:dyDescent="0.2">
      <c r="B129" s="187" t="str">
        <f t="shared" si="21"/>
        <v/>
      </c>
      <c r="C129" s="188" t="str">
        <f t="shared" si="21"/>
        <v/>
      </c>
      <c r="D129" s="123">
        <f t="shared" si="23"/>
        <v>0</v>
      </c>
      <c r="E129" s="451">
        <f t="shared" si="22"/>
        <v>0</v>
      </c>
      <c r="F129" s="455"/>
      <c r="G129" s="451">
        <f>IF($F$105="no country!",0,(IF(Input!$B$144="Sea",(IF(Input!$B$141="20 foot",(VLOOKUP(Input!$B$138,frttable,3,FALSE))*I158,(VLOOKUP(Input!$B$138,frttable,4,FALSE))*J158)),"Air: see total")))</f>
        <v>0</v>
      </c>
      <c r="H129" s="455"/>
      <c r="I129" s="451">
        <f>IF(Input!$B$144="Sea",E129+G129,0)</f>
        <v>0</v>
      </c>
      <c r="J129" s="452"/>
    </row>
    <row r="130" spans="2:12" x14ac:dyDescent="0.2">
      <c r="B130" s="187" t="str">
        <f t="shared" si="21"/>
        <v/>
      </c>
      <c r="C130" s="188" t="str">
        <f t="shared" si="21"/>
        <v/>
      </c>
      <c r="D130" s="123">
        <f t="shared" si="23"/>
        <v>0</v>
      </c>
      <c r="E130" s="451">
        <f t="shared" si="22"/>
        <v>0</v>
      </c>
      <c r="F130" s="455"/>
      <c r="G130" s="451">
        <f>IF($F$105="no country!",0,(IF(Input!$B$144="Sea",(IF(Input!$B$141="20 foot",(VLOOKUP(Input!$B$138,frttable,3,FALSE))*I159,(VLOOKUP(Input!$B$138,frttable,4,FALSE))*J159)),"Air: see total")))</f>
        <v>0</v>
      </c>
      <c r="H130" s="455"/>
      <c r="I130" s="451">
        <f>IF(Input!$B$144="Sea",E130+G130,0)</f>
        <v>0</v>
      </c>
      <c r="J130" s="452"/>
    </row>
    <row r="131" spans="2:12" ht="13.5" thickBot="1" x14ac:dyDescent="0.25">
      <c r="B131" s="135" t="str">
        <f t="shared" si="21"/>
        <v/>
      </c>
      <c r="C131" s="189" t="str">
        <f t="shared" si="21"/>
        <v/>
      </c>
      <c r="D131" s="124">
        <f t="shared" si="23"/>
        <v>0</v>
      </c>
      <c r="E131" s="453">
        <f t="shared" si="22"/>
        <v>0</v>
      </c>
      <c r="F131" s="456"/>
      <c r="G131" s="453">
        <f>IF($F$105="no country!",0,(IF(Input!$B$144="Sea",(IF(Input!$B$141="20 foot",(VLOOKUP(Input!$B$138,frttable,3,FALSE))*I160,(VLOOKUP(Input!$B$138,frttable,4,FALSE))*J160)),"Air: see total")))</f>
        <v>0</v>
      </c>
      <c r="H131" s="456"/>
      <c r="I131" s="453">
        <f>IF(Input!$B$144="Sea",E131+G131,0)</f>
        <v>0</v>
      </c>
      <c r="J131" s="454"/>
    </row>
    <row r="132" spans="2:12" ht="13.5" thickBot="1" x14ac:dyDescent="0.25">
      <c r="B132" s="105"/>
      <c r="C132" s="109" t="s">
        <v>275</v>
      </c>
      <c r="D132" s="106"/>
      <c r="E132" s="439">
        <f>SUM(E107:F131)</f>
        <v>0</v>
      </c>
      <c r="F132" s="441"/>
      <c r="G132" s="439">
        <f>IF($F$105="no country!",0,(IF(Input!$B$144="Sea",SUM(G107:H131),(IF((VLOOKUP(Input!$B$138,frttable,7,FALSE)*$L$161)&lt;=VLOOKUP(Input!$B$138,frttable,6,FALSE),VLOOKUP(Input!$B$138,frttable,6,FALSE),(IF($L$161&lt;1000,VLOOKUP(Input!$B$138,frttable,7,FALSE)*$L$161,VLOOKUP(Input!$B$138,frttable,8,FALSE)*$L$161)))))))</f>
        <v>0</v>
      </c>
      <c r="H132" s="441"/>
      <c r="I132" s="439">
        <f>IF(Input!$B$144="Sea",SUM(I107:J131),E132+G132)</f>
        <v>0</v>
      </c>
      <c r="J132" s="440"/>
    </row>
    <row r="133" spans="2:12" x14ac:dyDescent="0.2">
      <c r="B133" s="31"/>
      <c r="C133" s="31"/>
      <c r="D133" s="31"/>
      <c r="E133" s="104"/>
      <c r="F133" s="107">
        <v>1</v>
      </c>
      <c r="G133" s="108"/>
      <c r="H133" s="107" t="e">
        <f>G132/E132</f>
        <v>#DIV/0!</v>
      </c>
      <c r="I133" s="108"/>
      <c r="J133" s="107" t="e">
        <f>I132/E132</f>
        <v>#DIV/0!</v>
      </c>
    </row>
    <row r="134" spans="2:12" ht="19.5" customHeight="1" thickBot="1" x14ac:dyDescent="0.25">
      <c r="B134" s="134" t="s">
        <v>245</v>
      </c>
    </row>
    <row r="135" spans="2:12" ht="23.25" thickBot="1" x14ac:dyDescent="0.25">
      <c r="B135" s="40" t="s">
        <v>90</v>
      </c>
      <c r="C135" s="90" t="s">
        <v>23</v>
      </c>
      <c r="D135" s="96" t="s">
        <v>230</v>
      </c>
      <c r="E135" s="448" t="s">
        <v>233</v>
      </c>
      <c r="F135" s="448"/>
      <c r="G135" s="448" t="s">
        <v>226</v>
      </c>
      <c r="H135" s="448"/>
      <c r="I135" s="111" t="s">
        <v>232</v>
      </c>
      <c r="J135" s="110" t="s">
        <v>231</v>
      </c>
      <c r="K135" s="130" t="s">
        <v>243</v>
      </c>
      <c r="L135" s="131" t="s">
        <v>242</v>
      </c>
    </row>
    <row r="136" spans="2:12" x14ac:dyDescent="0.2">
      <c r="B136" s="185" t="str">
        <f t="shared" ref="B136:C160" si="24">B49</f>
        <v>ReSoMal, 42g sachet/1L/CAR-100</v>
      </c>
      <c r="C136" s="186" t="str">
        <f t="shared" si="24"/>
        <v>CAR-100</v>
      </c>
      <c r="D136" s="119">
        <f t="shared" ref="D136:D160" si="25">IF(B107="",0,D107*(INDEX(products_all,MATCH(B107,products_dd,0),7)))</f>
        <v>0</v>
      </c>
      <c r="E136" s="449">
        <f t="shared" ref="E136:E160" si="26">IF(B107="",0,D107*(INDEX(products_all,MATCH(B107,products_dd,0),8)))</f>
        <v>0</v>
      </c>
      <c r="F136" s="449"/>
      <c r="G136" s="450">
        <f t="shared" ref="G136:G160" si="27">IF(B107="",0,(D107*(INDEX(products_all,MATCH(B107,products_dd,0),9))/1000))</f>
        <v>0</v>
      </c>
      <c r="H136" s="450"/>
      <c r="I136" s="112">
        <f>(G136*1.15)/33.2</f>
        <v>0</v>
      </c>
      <c r="J136" s="113">
        <f>(G136*1.15)/67.5</f>
        <v>0</v>
      </c>
      <c r="K136" s="89"/>
      <c r="L136" s="132">
        <f>IF((G136*166.66)&gt;E136,(G136*166.66),E136)</f>
        <v>0</v>
      </c>
    </row>
    <row r="137" spans="2:12" ht="24" x14ac:dyDescent="0.2">
      <c r="B137" s="187" t="str">
        <f t="shared" si="24"/>
        <v>F75 Therapeutic diet, sachet 102.5g/CAR-120</v>
      </c>
      <c r="C137" s="188" t="str">
        <f t="shared" si="24"/>
        <v>CAR-120</v>
      </c>
      <c r="D137" s="119">
        <f t="shared" si="25"/>
        <v>0</v>
      </c>
      <c r="E137" s="444">
        <f t="shared" si="26"/>
        <v>0</v>
      </c>
      <c r="F137" s="444"/>
      <c r="G137" s="445">
        <f t="shared" si="27"/>
        <v>0</v>
      </c>
      <c r="H137" s="445"/>
      <c r="I137" s="114">
        <f t="shared" ref="I137:I160" si="28">(G137*1.15)/33.2</f>
        <v>0</v>
      </c>
      <c r="J137" s="115">
        <f t="shared" ref="J137:J160" si="29">(G137*1.15)/67.5</f>
        <v>0</v>
      </c>
      <c r="K137" s="89"/>
      <c r="L137" s="132">
        <f t="shared" ref="L137:L160" si="30">IF((G137*166.66)&gt;E137,(G137*166.66),E137)</f>
        <v>0</v>
      </c>
    </row>
    <row r="138" spans="2:12" x14ac:dyDescent="0.2">
      <c r="B138" s="187" t="str">
        <f t="shared" si="24"/>
        <v>F100 Therapeutic diet, sachet 114g/CAR-90</v>
      </c>
      <c r="C138" s="188" t="str">
        <f t="shared" si="24"/>
        <v>CAR-90</v>
      </c>
      <c r="D138" s="119">
        <f t="shared" si="25"/>
        <v>0</v>
      </c>
      <c r="E138" s="444">
        <f t="shared" si="26"/>
        <v>0</v>
      </c>
      <c r="F138" s="444"/>
      <c r="G138" s="445">
        <f t="shared" si="27"/>
        <v>0</v>
      </c>
      <c r="H138" s="445"/>
      <c r="I138" s="114">
        <f t="shared" si="28"/>
        <v>0</v>
      </c>
      <c r="J138" s="115">
        <f t="shared" si="29"/>
        <v>0</v>
      </c>
      <c r="K138" s="89"/>
      <c r="L138" s="132">
        <f t="shared" si="30"/>
        <v>0</v>
      </c>
    </row>
    <row r="139" spans="2:12" x14ac:dyDescent="0.2">
      <c r="B139" s="187" t="str">
        <f t="shared" si="24"/>
        <v>Folic acid 5mg tabs/PAC-1000</v>
      </c>
      <c r="C139" s="188" t="str">
        <f t="shared" si="24"/>
        <v>PAC-1000</v>
      </c>
      <c r="D139" s="119">
        <f t="shared" si="25"/>
        <v>0</v>
      </c>
      <c r="E139" s="444">
        <f t="shared" si="26"/>
        <v>0</v>
      </c>
      <c r="F139" s="444"/>
      <c r="G139" s="445">
        <f t="shared" si="27"/>
        <v>0</v>
      </c>
      <c r="H139" s="445"/>
      <c r="I139" s="114">
        <f t="shared" si="28"/>
        <v>0</v>
      </c>
      <c r="J139" s="115">
        <f t="shared" si="29"/>
        <v>0</v>
      </c>
      <c r="K139" s="89"/>
      <c r="L139" s="132">
        <f t="shared" si="30"/>
        <v>0</v>
      </c>
    </row>
    <row r="140" spans="2:12" x14ac:dyDescent="0.2">
      <c r="B140" s="187" t="str">
        <f t="shared" si="24"/>
        <v>Therapeutic spread, sachet 92g/CAR-150</v>
      </c>
      <c r="C140" s="188" t="str">
        <f t="shared" si="24"/>
        <v>CAR-150</v>
      </c>
      <c r="D140" s="119">
        <f t="shared" si="25"/>
        <v>0</v>
      </c>
      <c r="E140" s="444">
        <f t="shared" si="26"/>
        <v>0</v>
      </c>
      <c r="F140" s="444"/>
      <c r="G140" s="445">
        <f t="shared" si="27"/>
        <v>0</v>
      </c>
      <c r="H140" s="445"/>
      <c r="I140" s="114">
        <f t="shared" si="28"/>
        <v>0</v>
      </c>
      <c r="J140" s="115">
        <f t="shared" si="29"/>
        <v>0</v>
      </c>
      <c r="K140" s="89"/>
      <c r="L140" s="132">
        <f t="shared" si="30"/>
        <v>0</v>
      </c>
    </row>
    <row r="141" spans="2:12" x14ac:dyDescent="0.2">
      <c r="B141" s="187" t="str">
        <f t="shared" si="24"/>
        <v>Retinol 100,000IU soft gel.caps/PAC-500</v>
      </c>
      <c r="C141" s="188" t="str">
        <f t="shared" si="24"/>
        <v>PAC-500</v>
      </c>
      <c r="D141" s="119">
        <f t="shared" si="25"/>
        <v>0</v>
      </c>
      <c r="E141" s="444">
        <f t="shared" si="26"/>
        <v>0</v>
      </c>
      <c r="F141" s="444"/>
      <c r="G141" s="445">
        <f t="shared" si="27"/>
        <v>0</v>
      </c>
      <c r="H141" s="445"/>
      <c r="I141" s="114">
        <f t="shared" si="28"/>
        <v>0</v>
      </c>
      <c r="J141" s="115">
        <f t="shared" si="29"/>
        <v>0</v>
      </c>
      <c r="K141" s="89"/>
      <c r="L141" s="132">
        <f t="shared" si="30"/>
        <v>0</v>
      </c>
    </row>
    <row r="142" spans="2:12" x14ac:dyDescent="0.2">
      <c r="B142" s="187" t="str">
        <f t="shared" si="24"/>
        <v>Retinol 200,000IU soft gel.caps/PAC-500</v>
      </c>
      <c r="C142" s="188" t="str">
        <f t="shared" si="24"/>
        <v>PAC-500</v>
      </c>
      <c r="D142" s="119">
        <f t="shared" si="25"/>
        <v>0</v>
      </c>
      <c r="E142" s="444">
        <f t="shared" si="26"/>
        <v>0</v>
      </c>
      <c r="F142" s="444"/>
      <c r="G142" s="445">
        <f t="shared" si="27"/>
        <v>0</v>
      </c>
      <c r="H142" s="445"/>
      <c r="I142" s="114">
        <f t="shared" si="28"/>
        <v>0</v>
      </c>
      <c r="J142" s="115">
        <f t="shared" si="29"/>
        <v>0</v>
      </c>
      <c r="K142" s="89"/>
      <c r="L142" s="132">
        <f t="shared" si="30"/>
        <v>0</v>
      </c>
    </row>
    <row r="143" spans="2:12" x14ac:dyDescent="0.2">
      <c r="B143" s="187" t="str">
        <f t="shared" si="24"/>
        <v>BP100 Therapeutic diet/CAR-9x24x56.8g</v>
      </c>
      <c r="C143" s="188" t="str">
        <f t="shared" si="24"/>
        <v>CAR-9x24</v>
      </c>
      <c r="D143" s="119">
        <f t="shared" si="25"/>
        <v>0</v>
      </c>
      <c r="E143" s="444">
        <f t="shared" si="26"/>
        <v>0</v>
      </c>
      <c r="F143" s="444"/>
      <c r="G143" s="445">
        <f t="shared" si="27"/>
        <v>0</v>
      </c>
      <c r="H143" s="445"/>
      <c r="I143" s="114">
        <f t="shared" si="28"/>
        <v>0</v>
      </c>
      <c r="J143" s="115">
        <f t="shared" si="29"/>
        <v>0</v>
      </c>
      <c r="K143" s="89"/>
      <c r="L143" s="132">
        <f t="shared" si="30"/>
        <v>0</v>
      </c>
    </row>
    <row r="144" spans="2:12" x14ac:dyDescent="0.2">
      <c r="B144" s="187" t="str">
        <f t="shared" si="24"/>
        <v>Mebendazole 500 mg tabs/PAC-100</v>
      </c>
      <c r="C144" s="188" t="str">
        <f t="shared" si="24"/>
        <v>PAC-100</v>
      </c>
      <c r="D144" s="119">
        <f t="shared" si="25"/>
        <v>0</v>
      </c>
      <c r="E144" s="444">
        <f t="shared" si="26"/>
        <v>0</v>
      </c>
      <c r="F144" s="444"/>
      <c r="G144" s="445">
        <f t="shared" si="27"/>
        <v>0</v>
      </c>
      <c r="H144" s="445"/>
      <c r="I144" s="114">
        <f t="shared" si="28"/>
        <v>0</v>
      </c>
      <c r="J144" s="115">
        <f t="shared" si="29"/>
        <v>0</v>
      </c>
      <c r="K144" s="89"/>
      <c r="L144" s="132">
        <f t="shared" si="30"/>
        <v>0</v>
      </c>
    </row>
    <row r="145" spans="2:12" x14ac:dyDescent="0.2">
      <c r="B145" s="187" t="str">
        <f t="shared" si="24"/>
        <v>Amoxici.pdr/oral sus 125mg/5ml/BOT-100ml</v>
      </c>
      <c r="C145" s="188" t="str">
        <f t="shared" si="24"/>
        <v>BOT-100ml</v>
      </c>
      <c r="D145" s="119">
        <f t="shared" si="25"/>
        <v>0</v>
      </c>
      <c r="E145" s="444">
        <f t="shared" si="26"/>
        <v>0</v>
      </c>
      <c r="F145" s="444"/>
      <c r="G145" s="445">
        <f t="shared" si="27"/>
        <v>0</v>
      </c>
      <c r="H145" s="445"/>
      <c r="I145" s="114">
        <f t="shared" si="28"/>
        <v>0</v>
      </c>
      <c r="J145" s="115">
        <f t="shared" si="29"/>
        <v>0</v>
      </c>
      <c r="K145" s="89"/>
      <c r="L145" s="132">
        <f t="shared" si="30"/>
        <v>0</v>
      </c>
    </row>
    <row r="146" spans="2:12" x14ac:dyDescent="0.2">
      <c r="B146" s="187" t="str">
        <f t="shared" si="24"/>
        <v/>
      </c>
      <c r="C146" s="188" t="str">
        <f t="shared" si="24"/>
        <v/>
      </c>
      <c r="D146" s="119">
        <f t="shared" si="25"/>
        <v>0</v>
      </c>
      <c r="E146" s="444">
        <f t="shared" si="26"/>
        <v>0</v>
      </c>
      <c r="F146" s="444"/>
      <c r="G146" s="445">
        <f t="shared" si="27"/>
        <v>0</v>
      </c>
      <c r="H146" s="445"/>
      <c r="I146" s="114">
        <f t="shared" si="28"/>
        <v>0</v>
      </c>
      <c r="J146" s="115">
        <f t="shared" si="29"/>
        <v>0</v>
      </c>
      <c r="K146" s="89"/>
      <c r="L146" s="132">
        <f t="shared" si="30"/>
        <v>0</v>
      </c>
    </row>
    <row r="147" spans="2:12" x14ac:dyDescent="0.2">
      <c r="B147" s="187" t="str">
        <f t="shared" si="24"/>
        <v/>
      </c>
      <c r="C147" s="188" t="str">
        <f t="shared" si="24"/>
        <v/>
      </c>
      <c r="D147" s="119">
        <f t="shared" si="25"/>
        <v>0</v>
      </c>
      <c r="E147" s="444">
        <f t="shared" si="26"/>
        <v>0</v>
      </c>
      <c r="F147" s="444"/>
      <c r="G147" s="445">
        <f t="shared" si="27"/>
        <v>0</v>
      </c>
      <c r="H147" s="445"/>
      <c r="I147" s="114">
        <f t="shared" si="28"/>
        <v>0</v>
      </c>
      <c r="J147" s="115">
        <f t="shared" si="29"/>
        <v>0</v>
      </c>
      <c r="K147" s="89"/>
      <c r="L147" s="132">
        <f t="shared" si="30"/>
        <v>0</v>
      </c>
    </row>
    <row r="148" spans="2:12" x14ac:dyDescent="0.2">
      <c r="B148" s="187" t="str">
        <f t="shared" si="24"/>
        <v/>
      </c>
      <c r="C148" s="188" t="str">
        <f t="shared" si="24"/>
        <v/>
      </c>
      <c r="D148" s="119">
        <f t="shared" si="25"/>
        <v>0</v>
      </c>
      <c r="E148" s="444">
        <f t="shared" si="26"/>
        <v>0</v>
      </c>
      <c r="F148" s="444"/>
      <c r="G148" s="445">
        <f t="shared" si="27"/>
        <v>0</v>
      </c>
      <c r="H148" s="445"/>
      <c r="I148" s="114">
        <f t="shared" si="28"/>
        <v>0</v>
      </c>
      <c r="J148" s="115">
        <f t="shared" si="29"/>
        <v>0</v>
      </c>
      <c r="K148" s="89"/>
      <c r="L148" s="132">
        <f t="shared" si="30"/>
        <v>0</v>
      </c>
    </row>
    <row r="149" spans="2:12" x14ac:dyDescent="0.2">
      <c r="B149" s="187" t="str">
        <f t="shared" si="24"/>
        <v/>
      </c>
      <c r="C149" s="188" t="str">
        <f t="shared" si="24"/>
        <v/>
      </c>
      <c r="D149" s="119">
        <f t="shared" si="25"/>
        <v>0</v>
      </c>
      <c r="E149" s="444">
        <f t="shared" si="26"/>
        <v>0</v>
      </c>
      <c r="F149" s="444"/>
      <c r="G149" s="445">
        <f t="shared" si="27"/>
        <v>0</v>
      </c>
      <c r="H149" s="445"/>
      <c r="I149" s="114">
        <f t="shared" si="28"/>
        <v>0</v>
      </c>
      <c r="J149" s="115">
        <f t="shared" si="29"/>
        <v>0</v>
      </c>
      <c r="K149" s="89"/>
      <c r="L149" s="132">
        <f t="shared" si="30"/>
        <v>0</v>
      </c>
    </row>
    <row r="150" spans="2:12" x14ac:dyDescent="0.2">
      <c r="B150" s="187" t="str">
        <f t="shared" si="24"/>
        <v/>
      </c>
      <c r="C150" s="188" t="str">
        <f t="shared" si="24"/>
        <v/>
      </c>
      <c r="D150" s="119">
        <f t="shared" si="25"/>
        <v>0</v>
      </c>
      <c r="E150" s="444">
        <f t="shared" si="26"/>
        <v>0</v>
      </c>
      <c r="F150" s="444"/>
      <c r="G150" s="445">
        <f t="shared" si="27"/>
        <v>0</v>
      </c>
      <c r="H150" s="445"/>
      <c r="I150" s="114">
        <f t="shared" si="28"/>
        <v>0</v>
      </c>
      <c r="J150" s="115">
        <f t="shared" si="29"/>
        <v>0</v>
      </c>
      <c r="K150" s="89"/>
      <c r="L150" s="132">
        <f t="shared" si="30"/>
        <v>0</v>
      </c>
    </row>
    <row r="151" spans="2:12" x14ac:dyDescent="0.2">
      <c r="B151" s="187" t="str">
        <f t="shared" si="24"/>
        <v/>
      </c>
      <c r="C151" s="188" t="str">
        <f t="shared" si="24"/>
        <v/>
      </c>
      <c r="D151" s="119">
        <f t="shared" si="25"/>
        <v>0</v>
      </c>
      <c r="E151" s="444">
        <f t="shared" si="26"/>
        <v>0</v>
      </c>
      <c r="F151" s="444"/>
      <c r="G151" s="445">
        <f t="shared" si="27"/>
        <v>0</v>
      </c>
      <c r="H151" s="445"/>
      <c r="I151" s="114">
        <f t="shared" si="28"/>
        <v>0</v>
      </c>
      <c r="J151" s="115">
        <f t="shared" si="29"/>
        <v>0</v>
      </c>
      <c r="K151" s="89"/>
      <c r="L151" s="132">
        <f t="shared" si="30"/>
        <v>0</v>
      </c>
    </row>
    <row r="152" spans="2:12" x14ac:dyDescent="0.2">
      <c r="B152" s="187" t="str">
        <f t="shared" si="24"/>
        <v/>
      </c>
      <c r="C152" s="188" t="str">
        <f t="shared" si="24"/>
        <v/>
      </c>
      <c r="D152" s="119">
        <f t="shared" si="25"/>
        <v>0</v>
      </c>
      <c r="E152" s="444">
        <f t="shared" si="26"/>
        <v>0</v>
      </c>
      <c r="F152" s="444"/>
      <c r="G152" s="445">
        <f t="shared" si="27"/>
        <v>0</v>
      </c>
      <c r="H152" s="445"/>
      <c r="I152" s="114">
        <f t="shared" si="28"/>
        <v>0</v>
      </c>
      <c r="J152" s="115">
        <f t="shared" si="29"/>
        <v>0</v>
      </c>
      <c r="K152" s="89"/>
      <c r="L152" s="132">
        <f t="shared" si="30"/>
        <v>0</v>
      </c>
    </row>
    <row r="153" spans="2:12" x14ac:dyDescent="0.2">
      <c r="B153" s="187" t="str">
        <f t="shared" si="24"/>
        <v/>
      </c>
      <c r="C153" s="188" t="str">
        <f t="shared" si="24"/>
        <v/>
      </c>
      <c r="D153" s="119">
        <f t="shared" si="25"/>
        <v>0</v>
      </c>
      <c r="E153" s="444">
        <f t="shared" si="26"/>
        <v>0</v>
      </c>
      <c r="F153" s="444"/>
      <c r="G153" s="445">
        <f t="shared" si="27"/>
        <v>0</v>
      </c>
      <c r="H153" s="445"/>
      <c r="I153" s="114">
        <f t="shared" si="28"/>
        <v>0</v>
      </c>
      <c r="J153" s="115">
        <f t="shared" si="29"/>
        <v>0</v>
      </c>
      <c r="K153" s="89"/>
      <c r="L153" s="132">
        <f t="shared" si="30"/>
        <v>0</v>
      </c>
    </row>
    <row r="154" spans="2:12" x14ac:dyDescent="0.2">
      <c r="B154" s="187" t="str">
        <f t="shared" si="24"/>
        <v/>
      </c>
      <c r="C154" s="188" t="str">
        <f t="shared" si="24"/>
        <v/>
      </c>
      <c r="D154" s="119">
        <f t="shared" si="25"/>
        <v>0</v>
      </c>
      <c r="E154" s="444">
        <f t="shared" si="26"/>
        <v>0</v>
      </c>
      <c r="F154" s="444"/>
      <c r="G154" s="445">
        <f t="shared" si="27"/>
        <v>0</v>
      </c>
      <c r="H154" s="445"/>
      <c r="I154" s="114">
        <f t="shared" si="28"/>
        <v>0</v>
      </c>
      <c r="J154" s="115">
        <f t="shared" si="29"/>
        <v>0</v>
      </c>
      <c r="K154" s="89"/>
      <c r="L154" s="132">
        <f t="shared" si="30"/>
        <v>0</v>
      </c>
    </row>
    <row r="155" spans="2:12" x14ac:dyDescent="0.2">
      <c r="B155" s="187" t="str">
        <f t="shared" si="24"/>
        <v/>
      </c>
      <c r="C155" s="188" t="str">
        <f t="shared" si="24"/>
        <v/>
      </c>
      <c r="D155" s="119">
        <f t="shared" si="25"/>
        <v>0</v>
      </c>
      <c r="E155" s="444">
        <f t="shared" si="26"/>
        <v>0</v>
      </c>
      <c r="F155" s="444"/>
      <c r="G155" s="445">
        <f t="shared" si="27"/>
        <v>0</v>
      </c>
      <c r="H155" s="445"/>
      <c r="I155" s="114">
        <f t="shared" si="28"/>
        <v>0</v>
      </c>
      <c r="J155" s="115">
        <f t="shared" si="29"/>
        <v>0</v>
      </c>
      <c r="K155" s="89"/>
      <c r="L155" s="132">
        <f t="shared" si="30"/>
        <v>0</v>
      </c>
    </row>
    <row r="156" spans="2:12" x14ac:dyDescent="0.2">
      <c r="B156" s="187" t="str">
        <f t="shared" si="24"/>
        <v/>
      </c>
      <c r="C156" s="188" t="str">
        <f t="shared" si="24"/>
        <v/>
      </c>
      <c r="D156" s="119">
        <f t="shared" si="25"/>
        <v>0</v>
      </c>
      <c r="E156" s="444">
        <f t="shared" si="26"/>
        <v>0</v>
      </c>
      <c r="F156" s="444"/>
      <c r="G156" s="445">
        <f t="shared" si="27"/>
        <v>0</v>
      </c>
      <c r="H156" s="445"/>
      <c r="I156" s="114">
        <f t="shared" si="28"/>
        <v>0</v>
      </c>
      <c r="J156" s="115">
        <f t="shared" si="29"/>
        <v>0</v>
      </c>
      <c r="K156" s="89"/>
      <c r="L156" s="132">
        <f t="shared" si="30"/>
        <v>0</v>
      </c>
    </row>
    <row r="157" spans="2:12" x14ac:dyDescent="0.2">
      <c r="B157" s="187" t="str">
        <f t="shared" si="24"/>
        <v/>
      </c>
      <c r="C157" s="188" t="str">
        <f t="shared" si="24"/>
        <v/>
      </c>
      <c r="D157" s="119">
        <f t="shared" si="25"/>
        <v>0</v>
      </c>
      <c r="E157" s="444">
        <f t="shared" si="26"/>
        <v>0</v>
      </c>
      <c r="F157" s="444"/>
      <c r="G157" s="445">
        <f t="shared" si="27"/>
        <v>0</v>
      </c>
      <c r="H157" s="445"/>
      <c r="I157" s="114">
        <f t="shared" si="28"/>
        <v>0</v>
      </c>
      <c r="J157" s="115">
        <f t="shared" si="29"/>
        <v>0</v>
      </c>
      <c r="K157" s="89"/>
      <c r="L157" s="132">
        <f t="shared" si="30"/>
        <v>0</v>
      </c>
    </row>
    <row r="158" spans="2:12" x14ac:dyDescent="0.2">
      <c r="B158" s="187" t="str">
        <f t="shared" si="24"/>
        <v/>
      </c>
      <c r="C158" s="188" t="str">
        <f t="shared" si="24"/>
        <v/>
      </c>
      <c r="D158" s="119">
        <f t="shared" si="25"/>
        <v>0</v>
      </c>
      <c r="E158" s="444">
        <f t="shared" si="26"/>
        <v>0</v>
      </c>
      <c r="F158" s="444"/>
      <c r="G158" s="445">
        <f t="shared" si="27"/>
        <v>0</v>
      </c>
      <c r="H158" s="445"/>
      <c r="I158" s="114">
        <f t="shared" si="28"/>
        <v>0</v>
      </c>
      <c r="J158" s="115">
        <f t="shared" si="29"/>
        <v>0</v>
      </c>
      <c r="K158" s="89"/>
      <c r="L158" s="132">
        <f t="shared" si="30"/>
        <v>0</v>
      </c>
    </row>
    <row r="159" spans="2:12" x14ac:dyDescent="0.2">
      <c r="B159" s="187" t="str">
        <f t="shared" si="24"/>
        <v/>
      </c>
      <c r="C159" s="188" t="str">
        <f t="shared" si="24"/>
        <v/>
      </c>
      <c r="D159" s="119">
        <f t="shared" si="25"/>
        <v>0</v>
      </c>
      <c r="E159" s="444">
        <f t="shared" si="26"/>
        <v>0</v>
      </c>
      <c r="F159" s="444"/>
      <c r="G159" s="445">
        <f t="shared" si="27"/>
        <v>0</v>
      </c>
      <c r="H159" s="445"/>
      <c r="I159" s="114">
        <f t="shared" si="28"/>
        <v>0</v>
      </c>
      <c r="J159" s="115">
        <f t="shared" si="29"/>
        <v>0</v>
      </c>
      <c r="K159" s="89"/>
      <c r="L159" s="132">
        <f t="shared" si="30"/>
        <v>0</v>
      </c>
    </row>
    <row r="160" spans="2:12" ht="13.5" thickBot="1" x14ac:dyDescent="0.25">
      <c r="B160" s="135" t="str">
        <f t="shared" si="24"/>
        <v/>
      </c>
      <c r="C160" s="189" t="str">
        <f t="shared" si="24"/>
        <v/>
      </c>
      <c r="D160" s="120">
        <f t="shared" si="25"/>
        <v>0</v>
      </c>
      <c r="E160" s="446">
        <f t="shared" si="26"/>
        <v>0</v>
      </c>
      <c r="F160" s="446"/>
      <c r="G160" s="447">
        <f t="shared" si="27"/>
        <v>0</v>
      </c>
      <c r="H160" s="447"/>
      <c r="I160" s="116">
        <f t="shared" si="28"/>
        <v>0</v>
      </c>
      <c r="J160" s="117">
        <f t="shared" si="29"/>
        <v>0</v>
      </c>
      <c r="K160" s="89"/>
      <c r="L160" s="132">
        <f t="shared" si="30"/>
        <v>0</v>
      </c>
    </row>
    <row r="161" spans="2:12" ht="13.5" thickBot="1" x14ac:dyDescent="0.25">
      <c r="B161" s="105"/>
      <c r="C161" s="118" t="s">
        <v>124</v>
      </c>
      <c r="D161" s="121">
        <f>SUM(D136:D160)</f>
        <v>0</v>
      </c>
      <c r="E161" s="442">
        <f>SUM(E136:F160)</f>
        <v>0</v>
      </c>
      <c r="F161" s="441"/>
      <c r="G161" s="443">
        <f>SUM(G136:H160)</f>
        <v>0</v>
      </c>
      <c r="H161" s="441"/>
      <c r="I161" s="125">
        <f>SUM(I136:I160)</f>
        <v>0</v>
      </c>
      <c r="J161" s="126">
        <f>SUM(J136:J160)</f>
        <v>0</v>
      </c>
      <c r="K161" s="89"/>
      <c r="L161" s="132">
        <f>SUM(L136:L160)</f>
        <v>0</v>
      </c>
    </row>
    <row r="162" spans="2:12" x14ac:dyDescent="0.2">
      <c r="D162" s="127" t="s">
        <v>234</v>
      </c>
      <c r="E162" s="127"/>
      <c r="F162" s="127" t="s">
        <v>235</v>
      </c>
      <c r="G162" s="127"/>
      <c r="H162" s="127" t="s">
        <v>236</v>
      </c>
      <c r="I162" s="127" t="s">
        <v>237</v>
      </c>
      <c r="J162" s="127" t="s">
        <v>238</v>
      </c>
      <c r="K162" s="89"/>
      <c r="L162" s="89"/>
    </row>
    <row r="163" spans="2:12" ht="14.25" customHeight="1" x14ac:dyDescent="0.2">
      <c r="B163" s="26" t="s">
        <v>271</v>
      </c>
      <c r="K163" s="89"/>
      <c r="L163" s="133" t="e">
        <f>(IF((VLOOKUP(Input!$B$138,frttable,7,FALSE)*$L$161)&lt;=VLOOKUP(Input!$B$138,frttable,6,FALSE),VLOOKUP(Input!$B$138,frttable,6,FALSE),(IF($L$161&lt;1000,VLOOKUP(Input!$B$138,frttable,7,FALSE)*$L$161,VLOOKUP(Input!$B$138,frttable,8,FALSE)*$L$161))))</f>
        <v>#N/A</v>
      </c>
    </row>
    <row r="164" spans="2:12" ht="14.25" customHeight="1" x14ac:dyDescent="0.2">
      <c r="B164" s="38" t="s">
        <v>270</v>
      </c>
    </row>
    <row r="165" spans="2:12" ht="14.25" customHeight="1" x14ac:dyDescent="0.2">
      <c r="B165" s="38" t="s">
        <v>272</v>
      </c>
    </row>
    <row r="166" spans="2:12" ht="14.25" customHeight="1" x14ac:dyDescent="0.2">
      <c r="B166" s="229" t="s">
        <v>378</v>
      </c>
    </row>
    <row r="167" spans="2:12" ht="14.25" customHeight="1" x14ac:dyDescent="0.2">
      <c r="B167" s="26" t="s">
        <v>268</v>
      </c>
    </row>
  </sheetData>
  <sheetProtection password="F206" sheet="1" objects="1" scenarios="1" formatColumns="0"/>
  <mergeCells count="142">
    <mergeCell ref="B4:C4"/>
    <mergeCell ref="B9:C9"/>
    <mergeCell ref="L77:M77"/>
    <mergeCell ref="D77:E77"/>
    <mergeCell ref="F77:G77"/>
    <mergeCell ref="H77:I77"/>
    <mergeCell ref="J77:K77"/>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G106:H106"/>
    <mergeCell ref="G107:H107"/>
    <mergeCell ref="G108:H108"/>
    <mergeCell ref="G109:H109"/>
    <mergeCell ref="G110:H110"/>
    <mergeCell ref="G111:H111"/>
    <mergeCell ref="G112:H112"/>
    <mergeCell ref="G113:H113"/>
    <mergeCell ref="G114:H114"/>
    <mergeCell ref="G115:H115"/>
    <mergeCell ref="G116:H116"/>
    <mergeCell ref="G117:H117"/>
    <mergeCell ref="G118:H118"/>
    <mergeCell ref="G119:H119"/>
    <mergeCell ref="G120:H120"/>
    <mergeCell ref="G121:H121"/>
    <mergeCell ref="G122:H122"/>
    <mergeCell ref="G123:H123"/>
    <mergeCell ref="G124:H124"/>
    <mergeCell ref="G125:H125"/>
    <mergeCell ref="G126:H126"/>
    <mergeCell ref="G127:H127"/>
    <mergeCell ref="G128:H128"/>
    <mergeCell ref="G129:H129"/>
    <mergeCell ref="G130:H130"/>
    <mergeCell ref="G131:H131"/>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30:J130"/>
    <mergeCell ref="I131:J131"/>
    <mergeCell ref="I126:J126"/>
    <mergeCell ref="I127:J127"/>
    <mergeCell ref="I128:J128"/>
    <mergeCell ref="I129:J129"/>
    <mergeCell ref="E135:F135"/>
    <mergeCell ref="G135:H135"/>
    <mergeCell ref="E136:F136"/>
    <mergeCell ref="G136:H136"/>
    <mergeCell ref="E137:F137"/>
    <mergeCell ref="G137:H137"/>
    <mergeCell ref="E138:F138"/>
    <mergeCell ref="G138:H138"/>
    <mergeCell ref="E139:F139"/>
    <mergeCell ref="G139:H139"/>
    <mergeCell ref="E140:F140"/>
    <mergeCell ref="G140:H140"/>
    <mergeCell ref="E141:F141"/>
    <mergeCell ref="G141:H141"/>
    <mergeCell ref="E142:F142"/>
    <mergeCell ref="G142:H142"/>
    <mergeCell ref="E143:F143"/>
    <mergeCell ref="G143:H143"/>
    <mergeCell ref="E144:F144"/>
    <mergeCell ref="G144:H144"/>
    <mergeCell ref="G155:H155"/>
    <mergeCell ref="E157:F157"/>
    <mergeCell ref="G156:H156"/>
    <mergeCell ref="E145:F145"/>
    <mergeCell ref="G145:H145"/>
    <mergeCell ref="E146:F146"/>
    <mergeCell ref="G146:H146"/>
    <mergeCell ref="E147:F147"/>
    <mergeCell ref="G147:H147"/>
    <mergeCell ref="E148:F148"/>
    <mergeCell ref="G148:H148"/>
    <mergeCell ref="E149:F149"/>
    <mergeCell ref="G149:H149"/>
    <mergeCell ref="I132:J132"/>
    <mergeCell ref="G132:H132"/>
    <mergeCell ref="E132:F132"/>
    <mergeCell ref="E161:F161"/>
    <mergeCell ref="G161:H161"/>
    <mergeCell ref="E159:F159"/>
    <mergeCell ref="G159:H159"/>
    <mergeCell ref="E160:F160"/>
    <mergeCell ref="E156:F156"/>
    <mergeCell ref="E150:F150"/>
    <mergeCell ref="G150:H150"/>
    <mergeCell ref="E151:F151"/>
    <mergeCell ref="G151:H151"/>
    <mergeCell ref="E152:F152"/>
    <mergeCell ref="G152:H152"/>
    <mergeCell ref="G160:H160"/>
    <mergeCell ref="E153:F153"/>
    <mergeCell ref="G153:H153"/>
    <mergeCell ref="E154:F154"/>
    <mergeCell ref="G154:H154"/>
    <mergeCell ref="G157:H157"/>
    <mergeCell ref="E158:F158"/>
    <mergeCell ref="G158:H158"/>
    <mergeCell ref="E155:F155"/>
  </mergeCells>
  <phoneticPr fontId="0" type="noConversion"/>
  <conditionalFormatting sqref="B49:H73 B14:H28 B32:H41 D78:K102 M78:M102">
    <cfRule type="cellIs" dxfId="2" priority="1" stopIfTrue="1" operator="equal">
      <formula>0</formula>
    </cfRule>
  </conditionalFormatting>
  <conditionalFormatting sqref="L78:L102">
    <cfRule type="cellIs" dxfId="1" priority="2" stopIfTrue="1" operator="equal">
      <formula>0</formula>
    </cfRule>
    <cfRule type="cellIs" dxfId="0" priority="3" stopIfTrue="1" operator="lessThan">
      <formula>0</formula>
    </cfRule>
  </conditionalFormatting>
  <pageMargins left="0.51181102362204722" right="0.62992125984251968" top="0.25" bottom="0.24" header="0.18" footer="0.16"/>
  <pageSetup paperSize="9" scale="64" orientation="landscape" r:id="rId1"/>
  <headerFooter alignWithMargins="0"/>
  <rowBreaks count="2" manualBreakCount="2">
    <brk id="42" max="14" man="1"/>
    <brk id="103" max="14" man="1"/>
  </rowBreaks>
  <ignoredErrors>
    <ignoredError sqref="D7:F7 D5:G5 D6:G6 E8:G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09"/>
  <sheetViews>
    <sheetView showGridLines="0" view="pageBreakPreview" zoomScale="95" zoomScaleNormal="100" zoomScaleSheetLayoutView="95" workbookViewId="0"/>
  </sheetViews>
  <sheetFormatPr defaultRowHeight="12.75" x14ac:dyDescent="0.2"/>
  <cols>
    <col min="1" max="1" width="2.28515625" customWidth="1"/>
    <col min="2" max="2" width="36.7109375" customWidth="1"/>
    <col min="3" max="7" width="15.42578125" customWidth="1"/>
    <col min="8" max="8" width="3.7109375" customWidth="1"/>
  </cols>
  <sheetData>
    <row r="1" spans="1:12" ht="20.25" x14ac:dyDescent="0.3">
      <c r="A1" s="138"/>
      <c r="B1" s="42" t="s">
        <v>247</v>
      </c>
      <c r="C1" s="43"/>
      <c r="D1" s="43"/>
      <c r="E1" s="43"/>
      <c r="F1" s="43"/>
      <c r="G1" s="43"/>
      <c r="H1" s="43"/>
      <c r="I1" s="43"/>
      <c r="J1" s="43"/>
      <c r="K1" s="43"/>
      <c r="L1" s="43"/>
    </row>
    <row r="2" spans="1:12" ht="22.5" customHeight="1" x14ac:dyDescent="0.3">
      <c r="A2" s="8"/>
      <c r="B2" s="8"/>
      <c r="C2" s="139" t="str">
        <f>IF(ISBLANK(Input!B14),"",Input!B14)</f>
        <v>-</v>
      </c>
      <c r="E2" s="8"/>
      <c r="F2" s="8"/>
      <c r="G2" s="8"/>
      <c r="H2" s="8"/>
      <c r="I2" s="8"/>
      <c r="J2" s="8"/>
      <c r="K2" s="8"/>
      <c r="L2" s="8"/>
    </row>
    <row r="3" spans="1:12" x14ac:dyDescent="0.2">
      <c r="A3" s="8"/>
      <c r="B3" s="8"/>
      <c r="C3" s="140" t="s">
        <v>248</v>
      </c>
      <c r="E3" s="8"/>
      <c r="F3" s="8"/>
      <c r="G3" s="8"/>
      <c r="H3" s="8"/>
      <c r="I3" s="8"/>
      <c r="J3" s="8"/>
      <c r="K3" s="8"/>
      <c r="L3" s="8"/>
    </row>
    <row r="4" spans="1:12" x14ac:dyDescent="0.2">
      <c r="A4" s="8"/>
      <c r="B4" s="8"/>
      <c r="C4" s="140" t="str">
        <f ca="1">"For period "&amp;(Input!C69)&amp;" - "&amp;(Input!N69)&amp;""</f>
        <v>For period Jan 2012 - Dec 2012</v>
      </c>
      <c r="E4" s="8"/>
      <c r="F4" s="8"/>
      <c r="G4" s="8"/>
      <c r="H4" s="8"/>
      <c r="I4" s="8"/>
      <c r="J4" s="8"/>
      <c r="K4" s="8"/>
      <c r="L4" s="8"/>
    </row>
    <row r="5" spans="1:12" ht="3" customHeight="1" thickBot="1" x14ac:dyDescent="0.25">
      <c r="A5" s="8"/>
      <c r="B5" s="141"/>
      <c r="C5" s="141"/>
      <c r="D5" s="141"/>
      <c r="E5" s="141"/>
      <c r="F5" s="141"/>
      <c r="G5" s="141"/>
      <c r="H5" s="8"/>
      <c r="I5" s="8"/>
      <c r="J5" s="8"/>
      <c r="K5" s="8"/>
      <c r="L5" s="8"/>
    </row>
    <row r="6" spans="1:12" ht="12.75" customHeight="1" x14ac:dyDescent="0.2"/>
    <row r="7" spans="1:12" ht="45" customHeight="1" x14ac:dyDescent="0.2">
      <c r="A7" s="8"/>
      <c r="B7" s="474" t="str">
        <f>"Given an estimated prevalence of Severe Acute Malnutrition (S.A.M.) of "&amp;ROUND(Input!C22*100,1)&amp;"% and a Therapeutic Feeding target number of admissions of "&amp;Input!O80&amp;", "&amp;Input!B14&amp;" will need to procure in the next year nutrition supplies at a total cost of Usd $ "&amp;ROUND(Calculation!I132,2)&amp;" ."</f>
        <v>Given an estimated prevalence of Severe Acute Malnutrition (S.A.M.) of 0% and a Therapeutic Feeding target number of admissions of 0, - will need to procure in the next year nutrition supplies at a total cost of Usd $ 0 .</v>
      </c>
      <c r="C7" s="474"/>
      <c r="D7" s="474"/>
      <c r="E7" s="474"/>
      <c r="F7" s="474"/>
      <c r="G7" s="474"/>
      <c r="H7" s="8"/>
      <c r="I7" s="8"/>
      <c r="J7" s="8"/>
      <c r="K7" s="8"/>
      <c r="L7" s="8"/>
    </row>
    <row r="8" spans="1:12" ht="7.5" customHeight="1" x14ac:dyDescent="0.2">
      <c r="A8" s="8"/>
      <c r="B8" s="8"/>
      <c r="C8" s="8"/>
      <c r="D8" s="8"/>
      <c r="E8" s="8"/>
      <c r="F8" s="8"/>
      <c r="G8" s="8"/>
      <c r="H8" s="8"/>
      <c r="I8" s="8"/>
      <c r="J8" s="8"/>
      <c r="K8" s="8"/>
      <c r="L8" s="8"/>
    </row>
    <row r="9" spans="1:12" ht="25.5" customHeight="1" x14ac:dyDescent="0.2">
      <c r="A9" s="8"/>
      <c r="B9" s="474" t="str">
        <f>"When the target number of admissions is reached, the Therapeutic Feeding programme will have an estimated coverage of "&amp;ROUND(Input!H89*100,1)&amp;"%, based on an annual caseload of "&amp;ROUND(Input!C25,0)&amp;" Severe Acute Malnourished children."</f>
        <v>When the target number of admissions is reached, the Therapeutic Feeding programme will have an estimated coverage of 0%, based on an annual caseload of 0 Severe Acute Malnourished children.</v>
      </c>
      <c r="C9" s="474"/>
      <c r="D9" s="474"/>
      <c r="E9" s="474"/>
      <c r="F9" s="474"/>
      <c r="G9" s="474"/>
      <c r="H9" s="8"/>
      <c r="I9" s="8"/>
      <c r="J9" s="8"/>
      <c r="K9" s="8"/>
      <c r="L9" s="8"/>
    </row>
    <row r="10" spans="1:12" ht="8.25" customHeight="1" x14ac:dyDescent="0.2">
      <c r="A10" s="8"/>
      <c r="B10" s="142"/>
      <c r="C10" s="142"/>
      <c r="D10" s="142"/>
      <c r="E10" s="142"/>
      <c r="F10" s="142"/>
      <c r="G10" s="142"/>
      <c r="H10" s="8"/>
      <c r="I10" s="8"/>
      <c r="J10" s="8"/>
      <c r="K10" s="8"/>
      <c r="L10" s="8"/>
    </row>
    <row r="11" spans="1:12" ht="25.5" customHeight="1" x14ac:dyDescent="0.2">
      <c r="A11" s="8"/>
      <c r="B11" s="475" t="str">
        <f ca="1">"The following summary includes the additional quantity needed for "&amp;ROUND(Input!C99,0)&amp;" admissions emergency stock plus a "&amp;ROUND(Input!D134,0)&amp;" month safety stock and takes into account the nutrition supplies currently in stock in-country and in the pipeline, including "&amp;ROUND(Input!H63*100,0)&amp;"% to account for wastage and leakage."</f>
        <v>The following summary includes the additional quantity needed for 0 admissions emergency stock plus a 0 month safety stock and takes into account the nutrition supplies currently in stock in-country and in the pipeline, including 10% to account for wastage and leakage.</v>
      </c>
      <c r="C11" s="475"/>
      <c r="D11" s="475"/>
      <c r="E11" s="475"/>
      <c r="F11" s="475"/>
      <c r="G11" s="475"/>
      <c r="H11" s="8"/>
      <c r="I11" s="8"/>
      <c r="J11" s="8"/>
      <c r="K11" s="8"/>
      <c r="L11" s="8"/>
    </row>
    <row r="12" spans="1:12" ht="44.25" customHeight="1" x14ac:dyDescent="0.2">
      <c r="A12" s="8"/>
      <c r="B12" s="475" t="s">
        <v>273</v>
      </c>
      <c r="C12" s="475"/>
      <c r="D12" s="475"/>
      <c r="E12" s="475"/>
      <c r="F12" s="475"/>
      <c r="G12" s="475"/>
      <c r="H12" s="8"/>
      <c r="I12" s="8"/>
      <c r="J12" s="8"/>
      <c r="K12" s="8"/>
      <c r="L12" s="8"/>
    </row>
    <row r="13" spans="1:12" ht="24.75" customHeight="1" thickBot="1" x14ac:dyDescent="0.25"/>
    <row r="14" spans="1:12" x14ac:dyDescent="0.2">
      <c r="A14" s="8"/>
      <c r="B14" s="8"/>
      <c r="C14" s="468" t="s">
        <v>0</v>
      </c>
      <c r="D14" s="472"/>
      <c r="E14" s="472"/>
      <c r="F14" s="472"/>
      <c r="G14" s="470" t="s">
        <v>4</v>
      </c>
      <c r="H14" s="8"/>
      <c r="I14" s="8"/>
      <c r="J14" s="8"/>
      <c r="K14" s="8"/>
      <c r="L14" s="8"/>
    </row>
    <row r="15" spans="1:12" ht="21" customHeight="1" x14ac:dyDescent="0.2">
      <c r="A15" s="8"/>
      <c r="B15" s="143" t="s">
        <v>3</v>
      </c>
      <c r="C15" s="144" t="str">
        <f ca="1">Calculation!D4</f>
        <v>Jan - Mar 2012</v>
      </c>
      <c r="D15" s="145" t="str">
        <f ca="1">Calculation!E4</f>
        <v>Apr - Jun 2012</v>
      </c>
      <c r="E15" s="144" t="str">
        <f ca="1">Calculation!F4</f>
        <v>Jul - Sep 2012</v>
      </c>
      <c r="F15" s="146" t="str">
        <f ca="1">Calculation!G4</f>
        <v>Oct - Dec 2012</v>
      </c>
      <c r="G15" s="471"/>
      <c r="H15" s="8"/>
      <c r="I15" s="8"/>
      <c r="J15" s="8"/>
      <c r="K15" s="8"/>
      <c r="L15" s="8"/>
    </row>
    <row r="16" spans="1:12" x14ac:dyDescent="0.2">
      <c r="A16" s="8"/>
      <c r="B16" s="165" t="s">
        <v>372</v>
      </c>
      <c r="C16" s="148">
        <f>Calculation!D5</f>
        <v>0</v>
      </c>
      <c r="D16" s="148">
        <f>Calculation!E5</f>
        <v>0</v>
      </c>
      <c r="E16" s="148">
        <f>Calculation!F5</f>
        <v>0</v>
      </c>
      <c r="F16" s="164">
        <f>Calculation!G5</f>
        <v>0</v>
      </c>
      <c r="G16" s="335">
        <f>Calculation!H5</f>
        <v>0</v>
      </c>
      <c r="H16" s="8"/>
      <c r="I16" s="8"/>
      <c r="J16" s="8"/>
      <c r="K16" s="8"/>
      <c r="L16" s="8"/>
    </row>
    <row r="17" spans="1:12" x14ac:dyDescent="0.2">
      <c r="A17" s="8"/>
      <c r="B17" s="168" t="s">
        <v>373</v>
      </c>
      <c r="C17" s="169">
        <f>Calculation!D6</f>
        <v>0</v>
      </c>
      <c r="D17" s="169">
        <f>Calculation!E6</f>
        <v>0</v>
      </c>
      <c r="E17" s="169">
        <f>Calculation!F6</f>
        <v>0</v>
      </c>
      <c r="F17" s="170">
        <f>Calculation!G6</f>
        <v>0</v>
      </c>
      <c r="G17" s="336">
        <f>Calculation!H6</f>
        <v>0</v>
      </c>
      <c r="H17" s="8"/>
      <c r="I17" s="8"/>
      <c r="J17" s="8"/>
      <c r="K17" s="8"/>
      <c r="L17" s="8"/>
    </row>
    <row r="18" spans="1:12" x14ac:dyDescent="0.2">
      <c r="A18" s="8"/>
      <c r="B18" s="166" t="s">
        <v>374</v>
      </c>
      <c r="C18" s="148">
        <f>Calculation!D7</f>
        <v>0</v>
      </c>
      <c r="D18" s="148">
        <f>Calculation!E7</f>
        <v>0</v>
      </c>
      <c r="E18" s="148">
        <f>Calculation!F7</f>
        <v>0</v>
      </c>
      <c r="F18" s="164">
        <f>Calculation!G7</f>
        <v>0</v>
      </c>
      <c r="G18" s="335">
        <f>Calculation!H7</f>
        <v>0</v>
      </c>
      <c r="H18" s="8"/>
      <c r="I18" s="8"/>
      <c r="J18" s="8"/>
      <c r="K18" s="8"/>
      <c r="L18" s="8"/>
    </row>
    <row r="19" spans="1:12" ht="13.5" thickBot="1" x14ac:dyDescent="0.25">
      <c r="B19" s="167" t="s">
        <v>369</v>
      </c>
      <c r="C19" s="148">
        <f>Calculation!D8</f>
        <v>0</v>
      </c>
      <c r="D19" s="148">
        <f>Calculation!E8</f>
        <v>0</v>
      </c>
      <c r="E19" s="148">
        <f>Calculation!F8</f>
        <v>0</v>
      </c>
      <c r="F19" s="164">
        <f>Calculation!G8</f>
        <v>0</v>
      </c>
      <c r="G19" s="335">
        <f>Calculation!H8</f>
        <v>0</v>
      </c>
    </row>
    <row r="20" spans="1:12" ht="13.5" thickBot="1" x14ac:dyDescent="0.25">
      <c r="B20" s="149" t="s">
        <v>124</v>
      </c>
      <c r="C20" s="177">
        <f>Calculation!D9</f>
        <v>0</v>
      </c>
      <c r="D20" s="177">
        <f>Calculation!E9</f>
        <v>0</v>
      </c>
      <c r="E20" s="177">
        <f>Calculation!F9</f>
        <v>0</v>
      </c>
      <c r="F20" s="178">
        <f>Calculation!G9</f>
        <v>0</v>
      </c>
      <c r="G20" s="150">
        <f>Calculation!H9</f>
        <v>0</v>
      </c>
    </row>
    <row r="21" spans="1:12" ht="13.5" thickBot="1" x14ac:dyDescent="0.25">
      <c r="B21" s="8"/>
      <c r="C21" s="8"/>
      <c r="D21" s="8"/>
      <c r="E21" s="8"/>
      <c r="F21" s="8"/>
      <c r="G21" s="8"/>
    </row>
    <row r="22" spans="1:12" x14ac:dyDescent="0.2">
      <c r="B22" s="8"/>
      <c r="C22" s="468" t="s">
        <v>1</v>
      </c>
      <c r="D22" s="472"/>
      <c r="E22" s="472"/>
      <c r="F22" s="472"/>
      <c r="G22" s="470" t="s">
        <v>5</v>
      </c>
    </row>
    <row r="23" spans="1:12" ht="21.75" customHeight="1" x14ac:dyDescent="0.2">
      <c r="B23" s="143" t="s">
        <v>249</v>
      </c>
      <c r="C23" s="144" t="str">
        <f ca="1">C15</f>
        <v>Jan - Mar 2012</v>
      </c>
      <c r="D23" s="145" t="str">
        <f ca="1">D15</f>
        <v>Apr - Jun 2012</v>
      </c>
      <c r="E23" s="144" t="str">
        <f ca="1">E15</f>
        <v>Jul - Sep 2012</v>
      </c>
      <c r="F23" s="146" t="str">
        <f ca="1">F15</f>
        <v>Oct - Dec 2012</v>
      </c>
      <c r="G23" s="471"/>
    </row>
    <row r="24" spans="1:12" ht="12" customHeight="1" x14ac:dyDescent="0.2">
      <c r="B24" s="147" t="str">
        <f>Calculation!B49</f>
        <v>ReSoMal, 42g sachet/1L/CAR-100</v>
      </c>
      <c r="C24" s="179">
        <f>Calculation!D49</f>
        <v>0</v>
      </c>
      <c r="D24" s="179">
        <f>Calculation!E49</f>
        <v>0</v>
      </c>
      <c r="E24" s="179">
        <f>Calculation!F49</f>
        <v>0</v>
      </c>
      <c r="F24" s="180">
        <f>Calculation!G49</f>
        <v>0</v>
      </c>
      <c r="G24" s="337">
        <f>Calculation!H49</f>
        <v>0</v>
      </c>
    </row>
    <row r="25" spans="1:12" ht="12" customHeight="1" x14ac:dyDescent="0.2">
      <c r="B25" s="151" t="str">
        <f>Calculation!B50</f>
        <v>F75 Therapeutic diet, sachet 102.5g/CAR-120</v>
      </c>
      <c r="C25" s="181">
        <f>Calculation!D50</f>
        <v>0</v>
      </c>
      <c r="D25" s="181">
        <f>Calculation!E50</f>
        <v>0</v>
      </c>
      <c r="E25" s="181">
        <f>Calculation!F50</f>
        <v>0</v>
      </c>
      <c r="F25" s="182">
        <f>Calculation!G50</f>
        <v>0</v>
      </c>
      <c r="G25" s="338">
        <f>Calculation!H50</f>
        <v>0</v>
      </c>
    </row>
    <row r="26" spans="1:12" ht="12" customHeight="1" x14ac:dyDescent="0.2">
      <c r="B26" s="151" t="str">
        <f>Calculation!B51</f>
        <v>F100 Therapeutic diet, sachet 114g/CAR-90</v>
      </c>
      <c r="C26" s="181">
        <f>Calculation!D51</f>
        <v>0</v>
      </c>
      <c r="D26" s="181">
        <f>Calculation!E51</f>
        <v>0</v>
      </c>
      <c r="E26" s="181">
        <f>Calculation!F51</f>
        <v>0</v>
      </c>
      <c r="F26" s="182">
        <f>Calculation!G51</f>
        <v>0</v>
      </c>
      <c r="G26" s="338">
        <f>Calculation!H51</f>
        <v>0</v>
      </c>
    </row>
    <row r="27" spans="1:12" ht="12" customHeight="1" x14ac:dyDescent="0.2">
      <c r="B27" s="151" t="str">
        <f>Calculation!B52</f>
        <v>Folic acid 5mg tabs/PAC-1000</v>
      </c>
      <c r="C27" s="181">
        <f>Calculation!D52</f>
        <v>0</v>
      </c>
      <c r="D27" s="181">
        <f>Calculation!E52</f>
        <v>0</v>
      </c>
      <c r="E27" s="181">
        <f>Calculation!F52</f>
        <v>0</v>
      </c>
      <c r="F27" s="182">
        <f>Calculation!G52</f>
        <v>0</v>
      </c>
      <c r="G27" s="338">
        <f>Calculation!H52</f>
        <v>0</v>
      </c>
    </row>
    <row r="28" spans="1:12" ht="12" customHeight="1" x14ac:dyDescent="0.2">
      <c r="B28" s="151" t="str">
        <f>Calculation!B53</f>
        <v>Therapeutic spread, sachet 92g/CAR-150</v>
      </c>
      <c r="C28" s="181">
        <f>Calculation!D53</f>
        <v>0</v>
      </c>
      <c r="D28" s="181">
        <f>Calculation!E53</f>
        <v>0</v>
      </c>
      <c r="E28" s="181">
        <f>Calculation!F53</f>
        <v>0</v>
      </c>
      <c r="F28" s="182">
        <f>Calculation!G53</f>
        <v>0</v>
      </c>
      <c r="G28" s="338">
        <f>Calculation!H53</f>
        <v>0</v>
      </c>
    </row>
    <row r="29" spans="1:12" ht="12" customHeight="1" x14ac:dyDescent="0.2">
      <c r="B29" s="151" t="str">
        <f>Calculation!B54</f>
        <v>Retinol 100,000IU soft gel.caps/PAC-500</v>
      </c>
      <c r="C29" s="181">
        <f>Calculation!D54</f>
        <v>0</v>
      </c>
      <c r="D29" s="181">
        <f>Calculation!E54</f>
        <v>0</v>
      </c>
      <c r="E29" s="181">
        <f>Calculation!F54</f>
        <v>0</v>
      </c>
      <c r="F29" s="182">
        <f>Calculation!G54</f>
        <v>0</v>
      </c>
      <c r="G29" s="338">
        <f>Calculation!H54</f>
        <v>0</v>
      </c>
    </row>
    <row r="30" spans="1:12" ht="12" customHeight="1" x14ac:dyDescent="0.2">
      <c r="B30" s="151" t="str">
        <f>Calculation!B55</f>
        <v>Retinol 200,000IU soft gel.caps/PAC-500</v>
      </c>
      <c r="C30" s="181">
        <f>Calculation!D55</f>
        <v>0</v>
      </c>
      <c r="D30" s="181">
        <f>Calculation!E55</f>
        <v>0</v>
      </c>
      <c r="E30" s="181">
        <f>Calculation!F55</f>
        <v>0</v>
      </c>
      <c r="F30" s="182">
        <f>Calculation!G55</f>
        <v>0</v>
      </c>
      <c r="G30" s="338">
        <f>Calculation!H55</f>
        <v>0</v>
      </c>
    </row>
    <row r="31" spans="1:12" ht="12" customHeight="1" x14ac:dyDescent="0.2">
      <c r="B31" s="151" t="str">
        <f>Calculation!B56</f>
        <v>BP100 Therapeutic diet/CAR-9x24x56.8g</v>
      </c>
      <c r="C31" s="181">
        <f>Calculation!D56</f>
        <v>0</v>
      </c>
      <c r="D31" s="181">
        <f>Calculation!E56</f>
        <v>0</v>
      </c>
      <c r="E31" s="181">
        <f>Calculation!F56</f>
        <v>0</v>
      </c>
      <c r="F31" s="182">
        <f>Calculation!G56</f>
        <v>0</v>
      </c>
      <c r="G31" s="338">
        <f>Calculation!H56</f>
        <v>0</v>
      </c>
    </row>
    <row r="32" spans="1:12" ht="12" customHeight="1" x14ac:dyDescent="0.2">
      <c r="B32" s="151" t="str">
        <f>Calculation!B57</f>
        <v>Mebendazole 500 mg tabs/PAC-100</v>
      </c>
      <c r="C32" s="181">
        <f>Calculation!D57</f>
        <v>0</v>
      </c>
      <c r="D32" s="181">
        <f>Calculation!E57</f>
        <v>0</v>
      </c>
      <c r="E32" s="181">
        <f>Calculation!F57</f>
        <v>0</v>
      </c>
      <c r="F32" s="182">
        <f>Calculation!G57</f>
        <v>0</v>
      </c>
      <c r="G32" s="338">
        <f>Calculation!H57</f>
        <v>0</v>
      </c>
    </row>
    <row r="33" spans="2:7" ht="12" customHeight="1" x14ac:dyDescent="0.2">
      <c r="B33" s="151" t="str">
        <f>Calculation!B58</f>
        <v>Amoxici.pdr/oral sus 125mg/5ml/BOT-100ml</v>
      </c>
      <c r="C33" s="181">
        <f>Calculation!D58</f>
        <v>0</v>
      </c>
      <c r="D33" s="181">
        <f>Calculation!E58</f>
        <v>0</v>
      </c>
      <c r="E33" s="181">
        <f>Calculation!F58</f>
        <v>0</v>
      </c>
      <c r="F33" s="182">
        <f>Calculation!G58</f>
        <v>0</v>
      </c>
      <c r="G33" s="338">
        <f>Calculation!H58</f>
        <v>0</v>
      </c>
    </row>
    <row r="34" spans="2:7" ht="12" customHeight="1" x14ac:dyDescent="0.2">
      <c r="B34" s="151" t="str">
        <f>Calculation!B59</f>
        <v/>
      </c>
      <c r="C34" s="181">
        <f>Calculation!D59</f>
        <v>0</v>
      </c>
      <c r="D34" s="181">
        <f>Calculation!E59</f>
        <v>0</v>
      </c>
      <c r="E34" s="181">
        <f>Calculation!F59</f>
        <v>0</v>
      </c>
      <c r="F34" s="182">
        <f>Calculation!G59</f>
        <v>0</v>
      </c>
      <c r="G34" s="338">
        <f>Calculation!H59</f>
        <v>0</v>
      </c>
    </row>
    <row r="35" spans="2:7" ht="12" customHeight="1" x14ac:dyDescent="0.2">
      <c r="B35" s="151" t="str">
        <f>Calculation!B60</f>
        <v/>
      </c>
      <c r="C35" s="181">
        <f>Calculation!D60</f>
        <v>0</v>
      </c>
      <c r="D35" s="181">
        <f>Calculation!E60</f>
        <v>0</v>
      </c>
      <c r="E35" s="181">
        <f>Calculation!F60</f>
        <v>0</v>
      </c>
      <c r="F35" s="182">
        <f>Calculation!G60</f>
        <v>0</v>
      </c>
      <c r="G35" s="338">
        <f>Calculation!H60</f>
        <v>0</v>
      </c>
    </row>
    <row r="36" spans="2:7" ht="12" customHeight="1" x14ac:dyDescent="0.2">
      <c r="B36" s="151" t="str">
        <f>Calculation!B61</f>
        <v/>
      </c>
      <c r="C36" s="181">
        <f>Calculation!D61</f>
        <v>0</v>
      </c>
      <c r="D36" s="181">
        <f>Calculation!E61</f>
        <v>0</v>
      </c>
      <c r="E36" s="181">
        <f>Calculation!F61</f>
        <v>0</v>
      </c>
      <c r="F36" s="182">
        <f>Calculation!G61</f>
        <v>0</v>
      </c>
      <c r="G36" s="338">
        <f>Calculation!H61</f>
        <v>0</v>
      </c>
    </row>
    <row r="37" spans="2:7" ht="12" customHeight="1" x14ac:dyDescent="0.2">
      <c r="B37" s="151" t="str">
        <f>Calculation!B62</f>
        <v/>
      </c>
      <c r="C37" s="181">
        <f>Calculation!D62</f>
        <v>0</v>
      </c>
      <c r="D37" s="181">
        <f>Calculation!E62</f>
        <v>0</v>
      </c>
      <c r="E37" s="181">
        <f>Calculation!F62</f>
        <v>0</v>
      </c>
      <c r="F37" s="182">
        <f>Calculation!G62</f>
        <v>0</v>
      </c>
      <c r="G37" s="338">
        <f>Calculation!H62</f>
        <v>0</v>
      </c>
    </row>
    <row r="38" spans="2:7" ht="12" customHeight="1" x14ac:dyDescent="0.2">
      <c r="B38" s="151" t="str">
        <f>Calculation!B63</f>
        <v/>
      </c>
      <c r="C38" s="181">
        <f>Calculation!D63</f>
        <v>0</v>
      </c>
      <c r="D38" s="181">
        <f>Calculation!E63</f>
        <v>0</v>
      </c>
      <c r="E38" s="181">
        <f>Calculation!F63</f>
        <v>0</v>
      </c>
      <c r="F38" s="182">
        <f>Calculation!G63</f>
        <v>0</v>
      </c>
      <c r="G38" s="338">
        <f>Calculation!H63</f>
        <v>0</v>
      </c>
    </row>
    <row r="39" spans="2:7" ht="12" customHeight="1" x14ac:dyDescent="0.2">
      <c r="B39" s="151" t="str">
        <f>Calculation!B64</f>
        <v/>
      </c>
      <c r="C39" s="181">
        <f>Calculation!D64</f>
        <v>0</v>
      </c>
      <c r="D39" s="181">
        <f>Calculation!E64</f>
        <v>0</v>
      </c>
      <c r="E39" s="181">
        <f>Calculation!F64</f>
        <v>0</v>
      </c>
      <c r="F39" s="182">
        <f>Calculation!G64</f>
        <v>0</v>
      </c>
      <c r="G39" s="338">
        <f>Calculation!H64</f>
        <v>0</v>
      </c>
    </row>
    <row r="40" spans="2:7" ht="12" customHeight="1" x14ac:dyDescent="0.2">
      <c r="B40" s="151" t="str">
        <f>Calculation!B65</f>
        <v/>
      </c>
      <c r="C40" s="181">
        <f>Calculation!D65</f>
        <v>0</v>
      </c>
      <c r="D40" s="181">
        <f>Calculation!E65</f>
        <v>0</v>
      </c>
      <c r="E40" s="181">
        <f>Calculation!F65</f>
        <v>0</v>
      </c>
      <c r="F40" s="182">
        <f>Calculation!G65</f>
        <v>0</v>
      </c>
      <c r="G40" s="338">
        <f>Calculation!H65</f>
        <v>0</v>
      </c>
    </row>
    <row r="41" spans="2:7" ht="12" customHeight="1" x14ac:dyDescent="0.2">
      <c r="B41" s="151" t="str">
        <f>Calculation!B66</f>
        <v/>
      </c>
      <c r="C41" s="181">
        <f>Calculation!D66</f>
        <v>0</v>
      </c>
      <c r="D41" s="181">
        <f>Calculation!E66</f>
        <v>0</v>
      </c>
      <c r="E41" s="181">
        <f>Calculation!F66</f>
        <v>0</v>
      </c>
      <c r="F41" s="182">
        <f>Calculation!G66</f>
        <v>0</v>
      </c>
      <c r="G41" s="338">
        <f>Calculation!H66</f>
        <v>0</v>
      </c>
    </row>
    <row r="42" spans="2:7" ht="12" customHeight="1" x14ac:dyDescent="0.2">
      <c r="B42" s="151" t="str">
        <f>Calculation!B67</f>
        <v/>
      </c>
      <c r="C42" s="181">
        <f>Calculation!D67</f>
        <v>0</v>
      </c>
      <c r="D42" s="181">
        <f>Calculation!E67</f>
        <v>0</v>
      </c>
      <c r="E42" s="181">
        <f>Calculation!F67</f>
        <v>0</v>
      </c>
      <c r="F42" s="182">
        <f>Calculation!G67</f>
        <v>0</v>
      </c>
      <c r="G42" s="338">
        <f>Calculation!H67</f>
        <v>0</v>
      </c>
    </row>
    <row r="43" spans="2:7" ht="12" customHeight="1" x14ac:dyDescent="0.2">
      <c r="B43" s="151" t="str">
        <f>Calculation!B68</f>
        <v/>
      </c>
      <c r="C43" s="181">
        <f>Calculation!D68</f>
        <v>0</v>
      </c>
      <c r="D43" s="181">
        <f>Calculation!E68</f>
        <v>0</v>
      </c>
      <c r="E43" s="181">
        <f>Calculation!F68</f>
        <v>0</v>
      </c>
      <c r="F43" s="182">
        <f>Calculation!G68</f>
        <v>0</v>
      </c>
      <c r="G43" s="338">
        <f>Calculation!H68</f>
        <v>0</v>
      </c>
    </row>
    <row r="44" spans="2:7" ht="12" customHeight="1" x14ac:dyDescent="0.2">
      <c r="B44" s="151" t="str">
        <f>Calculation!B69</f>
        <v/>
      </c>
      <c r="C44" s="181">
        <f>Calculation!D69</f>
        <v>0</v>
      </c>
      <c r="D44" s="181">
        <f>Calculation!E69</f>
        <v>0</v>
      </c>
      <c r="E44" s="181">
        <f>Calculation!F69</f>
        <v>0</v>
      </c>
      <c r="F44" s="182">
        <f>Calculation!G69</f>
        <v>0</v>
      </c>
      <c r="G44" s="338">
        <f>Calculation!H69</f>
        <v>0</v>
      </c>
    </row>
    <row r="45" spans="2:7" ht="12" customHeight="1" x14ac:dyDescent="0.2">
      <c r="B45" s="151" t="str">
        <f>Calculation!B70</f>
        <v/>
      </c>
      <c r="C45" s="181">
        <f>Calculation!D70</f>
        <v>0</v>
      </c>
      <c r="D45" s="181">
        <f>Calculation!E70</f>
        <v>0</v>
      </c>
      <c r="E45" s="181">
        <f>Calculation!F70</f>
        <v>0</v>
      </c>
      <c r="F45" s="182">
        <f>Calculation!G70</f>
        <v>0</v>
      </c>
      <c r="G45" s="338">
        <f>Calculation!H70</f>
        <v>0</v>
      </c>
    </row>
    <row r="46" spans="2:7" ht="12" customHeight="1" x14ac:dyDescent="0.2">
      <c r="B46" s="151" t="str">
        <f>Calculation!B71</f>
        <v/>
      </c>
      <c r="C46" s="181">
        <f>Calculation!D71</f>
        <v>0</v>
      </c>
      <c r="D46" s="181">
        <f>Calculation!E71</f>
        <v>0</v>
      </c>
      <c r="E46" s="181">
        <f>Calculation!F71</f>
        <v>0</v>
      </c>
      <c r="F46" s="182">
        <f>Calculation!G71</f>
        <v>0</v>
      </c>
      <c r="G46" s="338">
        <f>Calculation!H71</f>
        <v>0</v>
      </c>
    </row>
    <row r="47" spans="2:7" ht="12" customHeight="1" x14ac:dyDescent="0.2">
      <c r="B47" s="151" t="str">
        <f>Calculation!B72</f>
        <v/>
      </c>
      <c r="C47" s="181">
        <f>Calculation!D72</f>
        <v>0</v>
      </c>
      <c r="D47" s="181">
        <f>Calculation!E72</f>
        <v>0</v>
      </c>
      <c r="E47" s="181">
        <f>Calculation!F72</f>
        <v>0</v>
      </c>
      <c r="F47" s="182">
        <f>Calculation!G72</f>
        <v>0</v>
      </c>
      <c r="G47" s="338">
        <f>Calculation!H72</f>
        <v>0</v>
      </c>
    </row>
    <row r="48" spans="2:7" ht="12" customHeight="1" thickBot="1" x14ac:dyDescent="0.25">
      <c r="B48" s="64" t="str">
        <f>Calculation!B73</f>
        <v/>
      </c>
      <c r="C48" s="183">
        <f>Calculation!D73</f>
        <v>0</v>
      </c>
      <c r="D48" s="183">
        <f>Calculation!E73</f>
        <v>0</v>
      </c>
      <c r="E48" s="183">
        <f>Calculation!F73</f>
        <v>0</v>
      </c>
      <c r="F48" s="184">
        <f>Calculation!G73</f>
        <v>0</v>
      </c>
      <c r="G48" s="339">
        <f>Calculation!H73</f>
        <v>0</v>
      </c>
    </row>
    <row r="49" spans="2:7" x14ac:dyDescent="0.2">
      <c r="B49" s="23" t="s">
        <v>6</v>
      </c>
      <c r="C49" s="8"/>
      <c r="D49" s="8"/>
      <c r="E49" s="8"/>
      <c r="F49" s="8"/>
      <c r="G49" s="8"/>
    </row>
    <row r="50" spans="2:7" ht="9" customHeight="1" thickBot="1" x14ac:dyDescent="0.25">
      <c r="B50" s="8"/>
      <c r="C50" s="8"/>
      <c r="D50" s="8"/>
      <c r="E50" s="8"/>
      <c r="F50" s="8"/>
      <c r="G50" s="8"/>
    </row>
    <row r="51" spans="2:7" x14ac:dyDescent="0.2">
      <c r="B51" s="8"/>
      <c r="C51" s="468" t="s">
        <v>2</v>
      </c>
      <c r="D51" s="469"/>
      <c r="E51" s="469"/>
      <c r="F51" s="473"/>
      <c r="G51" s="470" t="s">
        <v>8</v>
      </c>
    </row>
    <row r="52" spans="2:7" ht="36" x14ac:dyDescent="0.2">
      <c r="B52" s="143" t="s">
        <v>249</v>
      </c>
      <c r="C52" s="144" t="s">
        <v>10</v>
      </c>
      <c r="D52" s="145" t="s">
        <v>252</v>
      </c>
      <c r="E52" s="146" t="s">
        <v>7</v>
      </c>
      <c r="F52" s="146" t="s">
        <v>250</v>
      </c>
      <c r="G52" s="471"/>
    </row>
    <row r="53" spans="2:7" ht="12" customHeight="1" x14ac:dyDescent="0.2">
      <c r="B53" s="152" t="str">
        <f>Calculation!B49</f>
        <v>ReSoMal, 42g sachet/1L/CAR-100</v>
      </c>
      <c r="C53" s="179">
        <f>Calculation!H49</f>
        <v>0</v>
      </c>
      <c r="D53" s="153">
        <f>Calculation!F78</f>
        <v>0</v>
      </c>
      <c r="E53" s="179">
        <f>Calculation!H78</f>
        <v>0</v>
      </c>
      <c r="F53" s="191">
        <f>Calculation!J78</f>
        <v>0</v>
      </c>
      <c r="G53" s="333">
        <f>IF(Calculation!L78&lt;0,0,Calculation!L78)</f>
        <v>0</v>
      </c>
    </row>
    <row r="54" spans="2:7" ht="12" customHeight="1" x14ac:dyDescent="0.2">
      <c r="B54" s="154" t="str">
        <f>Calculation!B50</f>
        <v>F75 Therapeutic diet, sachet 102.5g/CAR-120</v>
      </c>
      <c r="C54" s="181">
        <f>Calculation!H50</f>
        <v>0</v>
      </c>
      <c r="D54" s="155">
        <f>Calculation!F79</f>
        <v>0</v>
      </c>
      <c r="E54" s="181">
        <f>Calculation!H79</f>
        <v>0</v>
      </c>
      <c r="F54" s="192">
        <f>Calculation!J79</f>
        <v>0</v>
      </c>
      <c r="G54" s="333">
        <f>IF(Calculation!L79&lt;0,0,Calculation!L79)</f>
        <v>0</v>
      </c>
    </row>
    <row r="55" spans="2:7" ht="12" customHeight="1" x14ac:dyDescent="0.2">
      <c r="B55" s="154" t="str">
        <f>Calculation!B51</f>
        <v>F100 Therapeutic diet, sachet 114g/CAR-90</v>
      </c>
      <c r="C55" s="181">
        <f>Calculation!H51</f>
        <v>0</v>
      </c>
      <c r="D55" s="155">
        <f>Calculation!F80</f>
        <v>0</v>
      </c>
      <c r="E55" s="181">
        <f>Calculation!H80</f>
        <v>0</v>
      </c>
      <c r="F55" s="192">
        <f>Calculation!J80</f>
        <v>0</v>
      </c>
      <c r="G55" s="333">
        <f>IF(Calculation!L80&lt;0,0,Calculation!L80)</f>
        <v>0</v>
      </c>
    </row>
    <row r="56" spans="2:7" ht="12" customHeight="1" x14ac:dyDescent="0.2">
      <c r="B56" s="154" t="str">
        <f>Calculation!B52</f>
        <v>Folic acid 5mg tabs/PAC-1000</v>
      </c>
      <c r="C56" s="181">
        <f>Calculation!H52</f>
        <v>0</v>
      </c>
      <c r="D56" s="155">
        <f>Calculation!F81</f>
        <v>0</v>
      </c>
      <c r="E56" s="181">
        <f>Calculation!H81</f>
        <v>0</v>
      </c>
      <c r="F56" s="192">
        <f>Calculation!J81</f>
        <v>0</v>
      </c>
      <c r="G56" s="333">
        <f>IF(Calculation!L81&lt;0,0,Calculation!L81)</f>
        <v>0</v>
      </c>
    </row>
    <row r="57" spans="2:7" ht="12" customHeight="1" x14ac:dyDescent="0.2">
      <c r="B57" s="154" t="str">
        <f>Calculation!B53</f>
        <v>Therapeutic spread, sachet 92g/CAR-150</v>
      </c>
      <c r="C57" s="181">
        <f>Calculation!H53</f>
        <v>0</v>
      </c>
      <c r="D57" s="155">
        <f>Calculation!F82</f>
        <v>0</v>
      </c>
      <c r="E57" s="181">
        <f>Calculation!H82</f>
        <v>0</v>
      </c>
      <c r="F57" s="192">
        <f>Calculation!J82</f>
        <v>0</v>
      </c>
      <c r="G57" s="333">
        <f>IF(Calculation!L82&lt;0,0,Calculation!L82)</f>
        <v>0</v>
      </c>
    </row>
    <row r="58" spans="2:7" ht="12" customHeight="1" x14ac:dyDescent="0.2">
      <c r="B58" s="154" t="str">
        <f>Calculation!B54</f>
        <v>Retinol 100,000IU soft gel.caps/PAC-500</v>
      </c>
      <c r="C58" s="181">
        <f>Calculation!H54</f>
        <v>0</v>
      </c>
      <c r="D58" s="155">
        <f>Calculation!F83</f>
        <v>0</v>
      </c>
      <c r="E58" s="181">
        <f>Calculation!H83</f>
        <v>0</v>
      </c>
      <c r="F58" s="192">
        <f>Calculation!J83</f>
        <v>0</v>
      </c>
      <c r="G58" s="333">
        <f>IF(Calculation!L83&lt;0,0,Calculation!L83)</f>
        <v>0</v>
      </c>
    </row>
    <row r="59" spans="2:7" ht="12" customHeight="1" x14ac:dyDescent="0.2">
      <c r="B59" s="154" t="str">
        <f>Calculation!B55</f>
        <v>Retinol 200,000IU soft gel.caps/PAC-500</v>
      </c>
      <c r="C59" s="181">
        <f>Calculation!H55</f>
        <v>0</v>
      </c>
      <c r="D59" s="155">
        <f>Calculation!F84</f>
        <v>0</v>
      </c>
      <c r="E59" s="181">
        <f>Calculation!H84</f>
        <v>0</v>
      </c>
      <c r="F59" s="192">
        <f>Calculation!J84</f>
        <v>0</v>
      </c>
      <c r="G59" s="333">
        <f>IF(Calculation!L84&lt;0,0,Calculation!L84)</f>
        <v>0</v>
      </c>
    </row>
    <row r="60" spans="2:7" ht="12" customHeight="1" x14ac:dyDescent="0.2">
      <c r="B60" s="154" t="str">
        <f>Calculation!B56</f>
        <v>BP100 Therapeutic diet/CAR-9x24x56.8g</v>
      </c>
      <c r="C60" s="181">
        <f>Calculation!H56</f>
        <v>0</v>
      </c>
      <c r="D60" s="155">
        <f>Calculation!F85</f>
        <v>0</v>
      </c>
      <c r="E60" s="181">
        <f>Calculation!H85</f>
        <v>0</v>
      </c>
      <c r="F60" s="192">
        <f>Calculation!J85</f>
        <v>0</v>
      </c>
      <c r="G60" s="333">
        <f>IF(Calculation!L85&lt;0,0,Calculation!L85)</f>
        <v>0</v>
      </c>
    </row>
    <row r="61" spans="2:7" ht="12" customHeight="1" x14ac:dyDescent="0.2">
      <c r="B61" s="154" t="str">
        <f>Calculation!B57</f>
        <v>Mebendazole 500 mg tabs/PAC-100</v>
      </c>
      <c r="C61" s="181">
        <f>Calculation!H57</f>
        <v>0</v>
      </c>
      <c r="D61" s="155">
        <f>Calculation!F86</f>
        <v>0</v>
      </c>
      <c r="E61" s="181">
        <f>Calculation!H86</f>
        <v>0</v>
      </c>
      <c r="F61" s="192">
        <f>Calculation!J86</f>
        <v>0</v>
      </c>
      <c r="G61" s="333">
        <f>IF(Calculation!L86&lt;0,0,Calculation!L86)</f>
        <v>0</v>
      </c>
    </row>
    <row r="62" spans="2:7" ht="12" customHeight="1" x14ac:dyDescent="0.2">
      <c r="B62" s="154" t="str">
        <f>Calculation!B58</f>
        <v>Amoxici.pdr/oral sus 125mg/5ml/BOT-100ml</v>
      </c>
      <c r="C62" s="181">
        <f>Calculation!H58</f>
        <v>0</v>
      </c>
      <c r="D62" s="155">
        <f>Calculation!F87</f>
        <v>0</v>
      </c>
      <c r="E62" s="181">
        <f>Calculation!H87</f>
        <v>0</v>
      </c>
      <c r="F62" s="192">
        <f>Calculation!J87</f>
        <v>0</v>
      </c>
      <c r="G62" s="333">
        <f>IF(Calculation!L87&lt;0,0,Calculation!L87)</f>
        <v>0</v>
      </c>
    </row>
    <row r="63" spans="2:7" ht="12" customHeight="1" x14ac:dyDescent="0.2">
      <c r="B63" s="154" t="str">
        <f>Calculation!B59</f>
        <v/>
      </c>
      <c r="C63" s="181">
        <f>Calculation!H59</f>
        <v>0</v>
      </c>
      <c r="D63" s="155">
        <f>Calculation!F88</f>
        <v>0</v>
      </c>
      <c r="E63" s="181">
        <f>Calculation!H88</f>
        <v>0</v>
      </c>
      <c r="F63" s="192">
        <f>Calculation!J88</f>
        <v>0</v>
      </c>
      <c r="G63" s="333">
        <f>IF(Calculation!L88&lt;0,0,Calculation!L88)</f>
        <v>0</v>
      </c>
    </row>
    <row r="64" spans="2:7" ht="12" customHeight="1" x14ac:dyDescent="0.2">
      <c r="B64" s="154" t="str">
        <f>Calculation!B60</f>
        <v/>
      </c>
      <c r="C64" s="181">
        <f>Calculation!H60</f>
        <v>0</v>
      </c>
      <c r="D64" s="155">
        <f>Calculation!F89</f>
        <v>0</v>
      </c>
      <c r="E64" s="181">
        <f>Calculation!H89</f>
        <v>0</v>
      </c>
      <c r="F64" s="192">
        <f>Calculation!J89</f>
        <v>0</v>
      </c>
      <c r="G64" s="333">
        <f>IF(Calculation!L89&lt;0,0,Calculation!L89)</f>
        <v>0</v>
      </c>
    </row>
    <row r="65" spans="2:7" ht="12" customHeight="1" x14ac:dyDescent="0.2">
      <c r="B65" s="154" t="str">
        <f>Calculation!B61</f>
        <v/>
      </c>
      <c r="C65" s="181">
        <f>Calculation!H61</f>
        <v>0</v>
      </c>
      <c r="D65" s="155">
        <f>Calculation!F90</f>
        <v>0</v>
      </c>
      <c r="E65" s="181">
        <f>Calculation!H90</f>
        <v>0</v>
      </c>
      <c r="F65" s="192">
        <f>Calculation!J90</f>
        <v>0</v>
      </c>
      <c r="G65" s="333">
        <f>IF(Calculation!L90&lt;0,0,Calculation!L90)</f>
        <v>0</v>
      </c>
    </row>
    <row r="66" spans="2:7" ht="12" customHeight="1" x14ac:dyDescent="0.2">
      <c r="B66" s="154" t="str">
        <f>Calculation!B62</f>
        <v/>
      </c>
      <c r="C66" s="181">
        <f>Calculation!H62</f>
        <v>0</v>
      </c>
      <c r="D66" s="155">
        <f>Calculation!F91</f>
        <v>0</v>
      </c>
      <c r="E66" s="181">
        <f>Calculation!H91</f>
        <v>0</v>
      </c>
      <c r="F66" s="192">
        <f>Calculation!J91</f>
        <v>0</v>
      </c>
      <c r="G66" s="333">
        <f>IF(Calculation!L91&lt;0,0,Calculation!L91)</f>
        <v>0</v>
      </c>
    </row>
    <row r="67" spans="2:7" ht="12" customHeight="1" x14ac:dyDescent="0.2">
      <c r="B67" s="154" t="str">
        <f>Calculation!B63</f>
        <v/>
      </c>
      <c r="C67" s="181">
        <f>Calculation!H63</f>
        <v>0</v>
      </c>
      <c r="D67" s="155">
        <f>Calculation!F92</f>
        <v>0</v>
      </c>
      <c r="E67" s="181">
        <f>Calculation!H92</f>
        <v>0</v>
      </c>
      <c r="F67" s="192">
        <f>Calculation!J92</f>
        <v>0</v>
      </c>
      <c r="G67" s="333">
        <f>IF(Calculation!L92&lt;0,0,Calculation!L92)</f>
        <v>0</v>
      </c>
    </row>
    <row r="68" spans="2:7" ht="12" customHeight="1" x14ac:dyDescent="0.2">
      <c r="B68" s="154" t="str">
        <f>Calculation!B64</f>
        <v/>
      </c>
      <c r="C68" s="181">
        <f>Calculation!H64</f>
        <v>0</v>
      </c>
      <c r="D68" s="155">
        <f>Calculation!F93</f>
        <v>0</v>
      </c>
      <c r="E68" s="181">
        <f>Calculation!H93</f>
        <v>0</v>
      </c>
      <c r="F68" s="192">
        <f>Calculation!J93</f>
        <v>0</v>
      </c>
      <c r="G68" s="333">
        <f>IF(Calculation!L93&lt;0,0,Calculation!L93)</f>
        <v>0</v>
      </c>
    </row>
    <row r="69" spans="2:7" ht="12" customHeight="1" x14ac:dyDescent="0.2">
      <c r="B69" s="154" t="str">
        <f>Calculation!B65</f>
        <v/>
      </c>
      <c r="C69" s="181">
        <f>Calculation!H65</f>
        <v>0</v>
      </c>
      <c r="D69" s="155">
        <f>Calculation!F94</f>
        <v>0</v>
      </c>
      <c r="E69" s="181">
        <f>Calculation!H94</f>
        <v>0</v>
      </c>
      <c r="F69" s="192">
        <f>Calculation!J94</f>
        <v>0</v>
      </c>
      <c r="G69" s="333">
        <f>IF(Calculation!L94&lt;0,0,Calculation!L94)</f>
        <v>0</v>
      </c>
    </row>
    <row r="70" spans="2:7" ht="12" customHeight="1" x14ac:dyDescent="0.2">
      <c r="B70" s="154" t="str">
        <f>Calculation!B66</f>
        <v/>
      </c>
      <c r="C70" s="181">
        <f>Calculation!H66</f>
        <v>0</v>
      </c>
      <c r="D70" s="155">
        <f>Calculation!F95</f>
        <v>0</v>
      </c>
      <c r="E70" s="181">
        <f>Calculation!H95</f>
        <v>0</v>
      </c>
      <c r="F70" s="192">
        <f>Calculation!J95</f>
        <v>0</v>
      </c>
      <c r="G70" s="333">
        <f>IF(Calculation!L95&lt;0,0,Calculation!L95)</f>
        <v>0</v>
      </c>
    </row>
    <row r="71" spans="2:7" ht="12" customHeight="1" x14ac:dyDescent="0.2">
      <c r="B71" s="154" t="str">
        <f>Calculation!B67</f>
        <v/>
      </c>
      <c r="C71" s="181">
        <f>Calculation!H67</f>
        <v>0</v>
      </c>
      <c r="D71" s="155">
        <f>Calculation!F96</f>
        <v>0</v>
      </c>
      <c r="E71" s="181">
        <f>Calculation!H96</f>
        <v>0</v>
      </c>
      <c r="F71" s="192">
        <f>Calculation!J96</f>
        <v>0</v>
      </c>
      <c r="G71" s="333">
        <f>IF(Calculation!L96&lt;0,0,Calculation!L96)</f>
        <v>0</v>
      </c>
    </row>
    <row r="72" spans="2:7" ht="12" customHeight="1" x14ac:dyDescent="0.2">
      <c r="B72" s="154" t="str">
        <f>Calculation!B68</f>
        <v/>
      </c>
      <c r="C72" s="181">
        <f>Calculation!H68</f>
        <v>0</v>
      </c>
      <c r="D72" s="155">
        <f>Calculation!F97</f>
        <v>0</v>
      </c>
      <c r="E72" s="181">
        <f>Calculation!H97</f>
        <v>0</v>
      </c>
      <c r="F72" s="192">
        <f>Calculation!J97</f>
        <v>0</v>
      </c>
      <c r="G72" s="333">
        <f>IF(Calculation!L97&lt;0,0,Calculation!L97)</f>
        <v>0</v>
      </c>
    </row>
    <row r="73" spans="2:7" ht="12" customHeight="1" x14ac:dyDescent="0.2">
      <c r="B73" s="154" t="str">
        <f>Calculation!B69</f>
        <v/>
      </c>
      <c r="C73" s="181">
        <f>Calculation!H69</f>
        <v>0</v>
      </c>
      <c r="D73" s="155">
        <f>Calculation!F98</f>
        <v>0</v>
      </c>
      <c r="E73" s="181">
        <f>Calculation!H98</f>
        <v>0</v>
      </c>
      <c r="F73" s="192">
        <f>Calculation!J98</f>
        <v>0</v>
      </c>
      <c r="G73" s="333">
        <f>IF(Calculation!L98&lt;0,0,Calculation!L98)</f>
        <v>0</v>
      </c>
    </row>
    <row r="74" spans="2:7" ht="12" customHeight="1" x14ac:dyDescent="0.2">
      <c r="B74" s="154" t="str">
        <f>Calculation!B70</f>
        <v/>
      </c>
      <c r="C74" s="181">
        <f>Calculation!H70</f>
        <v>0</v>
      </c>
      <c r="D74" s="155">
        <f>Calculation!F99</f>
        <v>0</v>
      </c>
      <c r="E74" s="181">
        <f>Calculation!H99</f>
        <v>0</v>
      </c>
      <c r="F74" s="192">
        <f>Calculation!J99</f>
        <v>0</v>
      </c>
      <c r="G74" s="333">
        <f>IF(Calculation!L99&lt;0,0,Calculation!L99)</f>
        <v>0</v>
      </c>
    </row>
    <row r="75" spans="2:7" ht="12" customHeight="1" x14ac:dyDescent="0.2">
      <c r="B75" s="154" t="str">
        <f>Calculation!B71</f>
        <v/>
      </c>
      <c r="C75" s="181">
        <f>Calculation!H71</f>
        <v>0</v>
      </c>
      <c r="D75" s="155">
        <f>Calculation!F100</f>
        <v>0</v>
      </c>
      <c r="E75" s="181">
        <f>Calculation!H100</f>
        <v>0</v>
      </c>
      <c r="F75" s="192">
        <f>Calculation!J100</f>
        <v>0</v>
      </c>
      <c r="G75" s="333">
        <f>IF(Calculation!L100&lt;0,0,Calculation!L100)</f>
        <v>0</v>
      </c>
    </row>
    <row r="76" spans="2:7" ht="12" customHeight="1" x14ac:dyDescent="0.2">
      <c r="B76" s="154" t="str">
        <f>Calculation!B72</f>
        <v/>
      </c>
      <c r="C76" s="181">
        <f>Calculation!H72</f>
        <v>0</v>
      </c>
      <c r="D76" s="155">
        <f>Calculation!F101</f>
        <v>0</v>
      </c>
      <c r="E76" s="181">
        <f>Calculation!H101</f>
        <v>0</v>
      </c>
      <c r="F76" s="192">
        <f>Calculation!J101</f>
        <v>0</v>
      </c>
      <c r="G76" s="333">
        <f>IF(Calculation!L101&lt;0,0,Calculation!L101)</f>
        <v>0</v>
      </c>
    </row>
    <row r="77" spans="2:7" ht="12" customHeight="1" thickBot="1" x14ac:dyDescent="0.25">
      <c r="B77" s="64" t="str">
        <f>Calculation!B73</f>
        <v/>
      </c>
      <c r="C77" s="190">
        <f>Calculation!H73</f>
        <v>0</v>
      </c>
      <c r="D77" s="156">
        <f>Calculation!F102</f>
        <v>0</v>
      </c>
      <c r="E77" s="190">
        <f>Calculation!H102</f>
        <v>0</v>
      </c>
      <c r="F77" s="193">
        <f>Calculation!J102</f>
        <v>0</v>
      </c>
      <c r="G77" s="334">
        <f>IF(Calculation!L102&lt;0,0,Calculation!L102)</f>
        <v>0</v>
      </c>
    </row>
    <row r="78" spans="2:7" ht="11.25" customHeight="1" x14ac:dyDescent="0.2">
      <c r="B78" s="23" t="s">
        <v>9</v>
      </c>
      <c r="C78" s="119"/>
      <c r="D78" s="194"/>
      <c r="E78" s="119"/>
      <c r="F78" s="195"/>
      <c r="G78" s="196"/>
    </row>
    <row r="79" spans="2:7" ht="8.25" customHeight="1" thickBot="1" x14ac:dyDescent="0.25">
      <c r="C79" s="8"/>
      <c r="D79" s="8"/>
      <c r="E79" s="8"/>
      <c r="F79" s="8"/>
    </row>
    <row r="80" spans="2:7" x14ac:dyDescent="0.2">
      <c r="B80" s="8"/>
      <c r="C80" s="468" t="s">
        <v>253</v>
      </c>
      <c r="D80" s="469"/>
      <c r="E80" s="470" t="str">
        <f ca="1">"Total Costs of supplies
("&amp;VLOOKUP('Date Function'!$D$3,Date_Table,2,FALSE)&amp;" - "&amp;(Input!N69)&amp;")"</f>
        <v>Total Costs of supplies
(Jan - Dec 2012)</v>
      </c>
      <c r="F80" s="8"/>
    </row>
    <row r="81" spans="2:6" ht="24" x14ac:dyDescent="0.2">
      <c r="B81" s="143" t="s">
        <v>249</v>
      </c>
      <c r="C81" s="144" t="s">
        <v>251</v>
      </c>
      <c r="D81" s="157" t="s">
        <v>11</v>
      </c>
      <c r="E81" s="471"/>
      <c r="F81" s="8"/>
    </row>
    <row r="82" spans="2:6" ht="12" customHeight="1" x14ac:dyDescent="0.2">
      <c r="B82" s="147" t="str">
        <f>Calculation!B49</f>
        <v>ReSoMal, 42g sachet/1L/CAR-100</v>
      </c>
      <c r="C82" s="158">
        <f>Calculation!E107</f>
        <v>0</v>
      </c>
      <c r="D82" s="159">
        <f>Calculation!G107</f>
        <v>0</v>
      </c>
      <c r="E82" s="340">
        <f>Calculation!I107</f>
        <v>0</v>
      </c>
      <c r="F82" s="8"/>
    </row>
    <row r="83" spans="2:6" ht="12" customHeight="1" x14ac:dyDescent="0.2">
      <c r="B83" s="151" t="str">
        <f>Calculation!B50</f>
        <v>F75 Therapeutic diet, sachet 102.5g/CAR-120</v>
      </c>
      <c r="C83" s="160">
        <f>Calculation!E108</f>
        <v>0</v>
      </c>
      <c r="D83" s="161">
        <f>Calculation!G108</f>
        <v>0</v>
      </c>
      <c r="E83" s="341">
        <f>Calculation!I108</f>
        <v>0</v>
      </c>
      <c r="F83" s="8"/>
    </row>
    <row r="84" spans="2:6" ht="12" customHeight="1" x14ac:dyDescent="0.2">
      <c r="B84" s="151" t="str">
        <f>Calculation!B51</f>
        <v>F100 Therapeutic diet, sachet 114g/CAR-90</v>
      </c>
      <c r="C84" s="160">
        <f>Calculation!E109</f>
        <v>0</v>
      </c>
      <c r="D84" s="161">
        <f>Calculation!G109</f>
        <v>0</v>
      </c>
      <c r="E84" s="341">
        <f>Calculation!I109</f>
        <v>0</v>
      </c>
      <c r="F84" s="8"/>
    </row>
    <row r="85" spans="2:6" ht="12" customHeight="1" x14ac:dyDescent="0.2">
      <c r="B85" s="151" t="str">
        <f>Calculation!B52</f>
        <v>Folic acid 5mg tabs/PAC-1000</v>
      </c>
      <c r="C85" s="160">
        <f>Calculation!E110</f>
        <v>0</v>
      </c>
      <c r="D85" s="161">
        <f>Calculation!G110</f>
        <v>0</v>
      </c>
      <c r="E85" s="341">
        <f>Calculation!I110</f>
        <v>0</v>
      </c>
      <c r="F85" s="8"/>
    </row>
    <row r="86" spans="2:6" ht="12" customHeight="1" x14ac:dyDescent="0.2">
      <c r="B86" s="151" t="str">
        <f>Calculation!B53</f>
        <v>Therapeutic spread, sachet 92g/CAR-150</v>
      </c>
      <c r="C86" s="160">
        <f>Calculation!E111</f>
        <v>0</v>
      </c>
      <c r="D86" s="161">
        <f>Calculation!G111</f>
        <v>0</v>
      </c>
      <c r="E86" s="341">
        <f>Calculation!I111</f>
        <v>0</v>
      </c>
      <c r="F86" s="8"/>
    </row>
    <row r="87" spans="2:6" ht="12" customHeight="1" x14ac:dyDescent="0.2">
      <c r="B87" s="151" t="str">
        <f>Calculation!B54</f>
        <v>Retinol 100,000IU soft gel.caps/PAC-500</v>
      </c>
      <c r="C87" s="160">
        <f>Calculation!E112</f>
        <v>0</v>
      </c>
      <c r="D87" s="161">
        <f>Calculation!G112</f>
        <v>0</v>
      </c>
      <c r="E87" s="341">
        <f>Calculation!I112</f>
        <v>0</v>
      </c>
      <c r="F87" s="8"/>
    </row>
    <row r="88" spans="2:6" ht="12" customHeight="1" x14ac:dyDescent="0.2">
      <c r="B88" s="151" t="str">
        <f>Calculation!B55</f>
        <v>Retinol 200,000IU soft gel.caps/PAC-500</v>
      </c>
      <c r="C88" s="160">
        <f>Calculation!E113</f>
        <v>0</v>
      </c>
      <c r="D88" s="161">
        <f>Calculation!G113</f>
        <v>0</v>
      </c>
      <c r="E88" s="341">
        <f>Calculation!I113</f>
        <v>0</v>
      </c>
      <c r="F88" s="8"/>
    </row>
    <row r="89" spans="2:6" ht="12" customHeight="1" x14ac:dyDescent="0.2">
      <c r="B89" s="151" t="str">
        <f>Calculation!B56</f>
        <v>BP100 Therapeutic diet/CAR-9x24x56.8g</v>
      </c>
      <c r="C89" s="160">
        <f>Calculation!E114</f>
        <v>0</v>
      </c>
      <c r="D89" s="161">
        <f>Calculation!G114</f>
        <v>0</v>
      </c>
      <c r="E89" s="341">
        <f>Calculation!I114</f>
        <v>0</v>
      </c>
      <c r="F89" s="8"/>
    </row>
    <row r="90" spans="2:6" ht="12" customHeight="1" x14ac:dyDescent="0.2">
      <c r="B90" s="151" t="str">
        <f>Calculation!B57</f>
        <v>Mebendazole 500 mg tabs/PAC-100</v>
      </c>
      <c r="C90" s="160">
        <f>Calculation!E115</f>
        <v>0</v>
      </c>
      <c r="D90" s="161">
        <f>Calculation!G115</f>
        <v>0</v>
      </c>
      <c r="E90" s="341">
        <f>Calculation!I115</f>
        <v>0</v>
      </c>
      <c r="F90" s="8"/>
    </row>
    <row r="91" spans="2:6" ht="12" customHeight="1" x14ac:dyDescent="0.2">
      <c r="B91" s="151" t="str">
        <f>Calculation!B58</f>
        <v>Amoxici.pdr/oral sus 125mg/5ml/BOT-100ml</v>
      </c>
      <c r="C91" s="160">
        <f>Calculation!E116</f>
        <v>0</v>
      </c>
      <c r="D91" s="161">
        <f>Calculation!G116</f>
        <v>0</v>
      </c>
      <c r="E91" s="341">
        <f>Calculation!I116</f>
        <v>0</v>
      </c>
      <c r="F91" s="8"/>
    </row>
    <row r="92" spans="2:6" ht="12" customHeight="1" x14ac:dyDescent="0.2">
      <c r="B92" s="151" t="str">
        <f>Calculation!B59</f>
        <v/>
      </c>
      <c r="C92" s="160">
        <f>Calculation!E117</f>
        <v>0</v>
      </c>
      <c r="D92" s="161">
        <f>Calculation!G117</f>
        <v>0</v>
      </c>
      <c r="E92" s="341">
        <f>Calculation!I117</f>
        <v>0</v>
      </c>
      <c r="F92" s="8"/>
    </row>
    <row r="93" spans="2:6" ht="12" customHeight="1" x14ac:dyDescent="0.2">
      <c r="B93" s="151" t="str">
        <f>Calculation!B60</f>
        <v/>
      </c>
      <c r="C93" s="160">
        <f>Calculation!E118</f>
        <v>0</v>
      </c>
      <c r="D93" s="161">
        <f>Calculation!G118</f>
        <v>0</v>
      </c>
      <c r="E93" s="341">
        <f>Calculation!I118</f>
        <v>0</v>
      </c>
      <c r="F93" s="8"/>
    </row>
    <row r="94" spans="2:6" ht="12" customHeight="1" x14ac:dyDescent="0.2">
      <c r="B94" s="151" t="str">
        <f>Calculation!B61</f>
        <v/>
      </c>
      <c r="C94" s="160">
        <f>Calculation!E119</f>
        <v>0</v>
      </c>
      <c r="D94" s="161">
        <f>Calculation!G119</f>
        <v>0</v>
      </c>
      <c r="E94" s="341">
        <f>Calculation!I119</f>
        <v>0</v>
      </c>
      <c r="F94" s="8"/>
    </row>
    <row r="95" spans="2:6" ht="12" customHeight="1" x14ac:dyDescent="0.2">
      <c r="B95" s="151" t="str">
        <f>Calculation!B62</f>
        <v/>
      </c>
      <c r="C95" s="160">
        <f>Calculation!E120</f>
        <v>0</v>
      </c>
      <c r="D95" s="161">
        <f>Calculation!G120</f>
        <v>0</v>
      </c>
      <c r="E95" s="341">
        <f>Calculation!I120</f>
        <v>0</v>
      </c>
      <c r="F95" s="8"/>
    </row>
    <row r="96" spans="2:6" ht="12" customHeight="1" x14ac:dyDescent="0.2">
      <c r="B96" s="151" t="str">
        <f>Calculation!B63</f>
        <v/>
      </c>
      <c r="C96" s="160">
        <f>Calculation!E121</f>
        <v>0</v>
      </c>
      <c r="D96" s="161">
        <f>Calculation!G121</f>
        <v>0</v>
      </c>
      <c r="E96" s="341">
        <f>Calculation!I121</f>
        <v>0</v>
      </c>
      <c r="F96" s="8"/>
    </row>
    <row r="97" spans="2:6" ht="12" customHeight="1" x14ac:dyDescent="0.2">
      <c r="B97" s="151" t="str">
        <f>Calculation!B64</f>
        <v/>
      </c>
      <c r="C97" s="160">
        <f>Calculation!E122</f>
        <v>0</v>
      </c>
      <c r="D97" s="161">
        <f>Calculation!G122</f>
        <v>0</v>
      </c>
      <c r="E97" s="341">
        <f>Calculation!I122</f>
        <v>0</v>
      </c>
      <c r="F97" s="8"/>
    </row>
    <row r="98" spans="2:6" ht="12" customHeight="1" x14ac:dyDescent="0.2">
      <c r="B98" s="151" t="str">
        <f>Calculation!B65</f>
        <v/>
      </c>
      <c r="C98" s="160">
        <f>Calculation!E123</f>
        <v>0</v>
      </c>
      <c r="D98" s="161">
        <f>Calculation!G123</f>
        <v>0</v>
      </c>
      <c r="E98" s="341">
        <f>Calculation!I123</f>
        <v>0</v>
      </c>
      <c r="F98" s="8"/>
    </row>
    <row r="99" spans="2:6" ht="12" customHeight="1" x14ac:dyDescent="0.2">
      <c r="B99" s="151" t="str">
        <f>Calculation!B66</f>
        <v/>
      </c>
      <c r="C99" s="160">
        <f>Calculation!E124</f>
        <v>0</v>
      </c>
      <c r="D99" s="161">
        <f>Calculation!G124</f>
        <v>0</v>
      </c>
      <c r="E99" s="341">
        <f>Calculation!I124</f>
        <v>0</v>
      </c>
      <c r="F99" s="8"/>
    </row>
    <row r="100" spans="2:6" ht="12" customHeight="1" x14ac:dyDescent="0.2">
      <c r="B100" s="151" t="str">
        <f>Calculation!B67</f>
        <v/>
      </c>
      <c r="C100" s="160">
        <f>Calculation!E125</f>
        <v>0</v>
      </c>
      <c r="D100" s="161">
        <f>Calculation!G125</f>
        <v>0</v>
      </c>
      <c r="E100" s="341">
        <f>Calculation!I125</f>
        <v>0</v>
      </c>
      <c r="F100" s="8"/>
    </row>
    <row r="101" spans="2:6" ht="12" customHeight="1" x14ac:dyDescent="0.2">
      <c r="B101" s="151" t="str">
        <f>Calculation!B68</f>
        <v/>
      </c>
      <c r="C101" s="160">
        <f>Calculation!E126</f>
        <v>0</v>
      </c>
      <c r="D101" s="161">
        <f>Calculation!G126</f>
        <v>0</v>
      </c>
      <c r="E101" s="341">
        <f>Calculation!I126</f>
        <v>0</v>
      </c>
      <c r="F101" s="8"/>
    </row>
    <row r="102" spans="2:6" ht="12" customHeight="1" x14ac:dyDescent="0.2">
      <c r="B102" s="151" t="str">
        <f>Calculation!B69</f>
        <v/>
      </c>
      <c r="C102" s="160">
        <f>Calculation!E127</f>
        <v>0</v>
      </c>
      <c r="D102" s="161">
        <f>Calculation!G127</f>
        <v>0</v>
      </c>
      <c r="E102" s="341">
        <f>Calculation!I127</f>
        <v>0</v>
      </c>
      <c r="F102" s="8"/>
    </row>
    <row r="103" spans="2:6" ht="12" customHeight="1" x14ac:dyDescent="0.2">
      <c r="B103" s="151" t="str">
        <f>Calculation!B70</f>
        <v/>
      </c>
      <c r="C103" s="160">
        <f>Calculation!E128</f>
        <v>0</v>
      </c>
      <c r="D103" s="161">
        <f>Calculation!G128</f>
        <v>0</v>
      </c>
      <c r="E103" s="341">
        <f>Calculation!I128</f>
        <v>0</v>
      </c>
      <c r="F103" s="8"/>
    </row>
    <row r="104" spans="2:6" ht="12" customHeight="1" x14ac:dyDescent="0.2">
      <c r="B104" s="151" t="str">
        <f>Calculation!B71</f>
        <v/>
      </c>
      <c r="C104" s="160">
        <f>Calculation!E129</f>
        <v>0</v>
      </c>
      <c r="D104" s="161">
        <f>Calculation!G129</f>
        <v>0</v>
      </c>
      <c r="E104" s="341">
        <f>Calculation!I129</f>
        <v>0</v>
      </c>
      <c r="F104" s="8"/>
    </row>
    <row r="105" spans="2:6" ht="12" customHeight="1" x14ac:dyDescent="0.2">
      <c r="B105" s="151" t="str">
        <f>Calculation!B72</f>
        <v/>
      </c>
      <c r="C105" s="160">
        <f>Calculation!E130</f>
        <v>0</v>
      </c>
      <c r="D105" s="161">
        <f>Calculation!G130</f>
        <v>0</v>
      </c>
      <c r="E105" s="341">
        <f>Calculation!I130</f>
        <v>0</v>
      </c>
    </row>
    <row r="106" spans="2:6" ht="12" customHeight="1" thickBot="1" x14ac:dyDescent="0.25">
      <c r="B106" s="151" t="str">
        <f>Calculation!B73</f>
        <v/>
      </c>
      <c r="C106" s="160">
        <f>Calculation!E131</f>
        <v>0</v>
      </c>
      <c r="D106" s="161">
        <f>Calculation!G131</f>
        <v>0</v>
      </c>
      <c r="E106" s="341">
        <f>Calculation!I131</f>
        <v>0</v>
      </c>
    </row>
    <row r="107" spans="2:6" ht="13.5" thickBot="1" x14ac:dyDescent="0.25">
      <c r="B107" s="162" t="s">
        <v>254</v>
      </c>
      <c r="C107" s="197">
        <f>Calculation!E132</f>
        <v>0</v>
      </c>
      <c r="D107" s="198">
        <f>Calculation!G132</f>
        <v>0</v>
      </c>
      <c r="E107" s="163">
        <f>Calculation!I132</f>
        <v>0</v>
      </c>
    </row>
    <row r="109" spans="2:6" x14ac:dyDescent="0.2">
      <c r="B109" t="str">
        <f>"* Note: The International Freight costs are estimated for shipping by "&amp;Calculation!H105&amp;" from Copenhagen to "&amp;Calculation!F105</f>
        <v>* Note: The International Freight costs are estimated for shipping by no mode! from Copenhagen to no country!</v>
      </c>
    </row>
  </sheetData>
  <sheetProtection password="F206" sheet="1" formatColumns="0"/>
  <mergeCells count="12">
    <mergeCell ref="B7:G7"/>
    <mergeCell ref="B9:G9"/>
    <mergeCell ref="B12:G12"/>
    <mergeCell ref="B11:G11"/>
    <mergeCell ref="C14:F14"/>
    <mergeCell ref="G14:G15"/>
    <mergeCell ref="C80:D80"/>
    <mergeCell ref="E80:E81"/>
    <mergeCell ref="C22:F22"/>
    <mergeCell ref="G22:G23"/>
    <mergeCell ref="G51:G52"/>
    <mergeCell ref="C51:F51"/>
  </mergeCells>
  <phoneticPr fontId="3" type="noConversion"/>
  <pageMargins left="0.23622047244094491" right="0.23622047244094491" top="0.47244094488188981" bottom="0.47244094488188981" header="0.23622047244094491" footer="0.27559055118110237"/>
  <pageSetup paperSize="9" scale="84" fitToHeight="3" orientation="portrait" r:id="rId1"/>
  <headerFooter alignWithMargins="0">
    <oddFooter>&amp;F&amp;RPage &amp;P</oddFooter>
  </headerFooter>
  <rowBreaks count="1" manualBreakCount="1">
    <brk id="49"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0"/>
  <sheetViews>
    <sheetView showGridLines="0" view="pageBreakPreview" topLeftCell="B1" zoomScaleNormal="100" zoomScaleSheetLayoutView="100" workbookViewId="0">
      <selection activeCell="B1" sqref="B1"/>
    </sheetView>
  </sheetViews>
  <sheetFormatPr defaultColWidth="9.140625" defaultRowHeight="12.75" x14ac:dyDescent="0.2"/>
  <cols>
    <col min="1" max="1" width="2.42578125" style="205" customWidth="1"/>
    <col min="2" max="2" width="36.85546875" style="205" customWidth="1"/>
    <col min="3" max="11" width="14.5703125" style="205" customWidth="1"/>
    <col min="12" max="12" width="18.42578125" style="205" customWidth="1"/>
    <col min="13" max="18" width="9.140625" style="205"/>
    <col min="19" max="19" width="4.7109375" style="205" customWidth="1"/>
    <col min="20" max="16384" width="9.140625" style="205"/>
  </cols>
  <sheetData>
    <row r="1" spans="1:12" s="306" customFormat="1" ht="17.25" customHeight="1" x14ac:dyDescent="0.25">
      <c r="B1" s="137" t="s">
        <v>21</v>
      </c>
      <c r="C1" s="137"/>
      <c r="D1" s="137"/>
      <c r="E1" s="137"/>
      <c r="F1" s="137"/>
      <c r="G1" s="137"/>
      <c r="H1" s="137"/>
    </row>
    <row r="2" spans="1:12" s="306" customFormat="1" ht="12" x14ac:dyDescent="0.2"/>
    <row r="3" spans="1:12" s="306" customFormat="1" thickBot="1" x14ac:dyDescent="0.25">
      <c r="B3" s="307"/>
      <c r="C3" s="307"/>
      <c r="D3" s="307"/>
      <c r="E3" s="307"/>
      <c r="F3" s="307"/>
      <c r="G3" s="307"/>
      <c r="H3" s="307"/>
      <c r="I3" s="307"/>
      <c r="J3" s="307"/>
      <c r="K3" s="307"/>
      <c r="L3" s="307"/>
    </row>
    <row r="4" spans="1:12" s="308" customFormat="1" ht="34.5" thickBot="1" x14ac:dyDescent="0.25">
      <c r="B4" s="309" t="s">
        <v>22</v>
      </c>
      <c r="C4" s="310" t="s">
        <v>23</v>
      </c>
      <c r="D4" s="311" t="s">
        <v>24</v>
      </c>
      <c r="E4" s="312" t="s">
        <v>94</v>
      </c>
      <c r="F4" s="312" t="s">
        <v>25</v>
      </c>
      <c r="G4" s="312" t="s">
        <v>26</v>
      </c>
      <c r="H4" s="312" t="s">
        <v>27</v>
      </c>
      <c r="I4" s="312" t="s">
        <v>28</v>
      </c>
      <c r="J4" s="312" t="s">
        <v>29</v>
      </c>
      <c r="K4" s="313" t="s">
        <v>377</v>
      </c>
      <c r="L4" s="380" t="s">
        <v>255</v>
      </c>
    </row>
    <row r="5" spans="1:12" s="306" customFormat="1" ht="12" x14ac:dyDescent="0.2">
      <c r="A5" s="314">
        <v>1</v>
      </c>
      <c r="B5" s="315" t="s">
        <v>295</v>
      </c>
      <c r="C5" s="291" t="s">
        <v>297</v>
      </c>
      <c r="D5" s="291" t="s">
        <v>296</v>
      </c>
      <c r="E5" s="316">
        <v>0.4</v>
      </c>
      <c r="F5" s="372">
        <v>100</v>
      </c>
      <c r="G5" s="373">
        <v>8.4000000000000005E-2</v>
      </c>
      <c r="H5" s="374">
        <f>F5*G5</f>
        <v>8.4</v>
      </c>
      <c r="I5" s="316">
        <v>11.1</v>
      </c>
      <c r="J5" s="316">
        <v>20</v>
      </c>
      <c r="K5" s="375">
        <v>25.59</v>
      </c>
      <c r="L5" s="381"/>
    </row>
    <row r="6" spans="1:12" s="306" customFormat="1" ht="12" x14ac:dyDescent="0.2">
      <c r="A6" s="314">
        <v>2</v>
      </c>
      <c r="B6" s="315" t="s">
        <v>298</v>
      </c>
      <c r="C6" s="244" t="s">
        <v>299</v>
      </c>
      <c r="D6" s="244" t="s">
        <v>300</v>
      </c>
      <c r="E6" s="316">
        <v>12</v>
      </c>
      <c r="F6" s="317">
        <v>120</v>
      </c>
      <c r="G6" s="318">
        <v>0.41</v>
      </c>
      <c r="H6" s="319">
        <v>8.1999999999999993</v>
      </c>
      <c r="I6" s="316">
        <v>8.9600000000000009</v>
      </c>
      <c r="J6" s="316">
        <v>24.244</v>
      </c>
      <c r="K6" s="394">
        <v>57.9</v>
      </c>
      <c r="L6" s="381"/>
    </row>
    <row r="7" spans="1:12" s="306" customFormat="1" ht="12" x14ac:dyDescent="0.2">
      <c r="A7" s="314">
        <v>3</v>
      </c>
      <c r="B7" s="315" t="s">
        <v>302</v>
      </c>
      <c r="C7" s="244" t="s">
        <v>303</v>
      </c>
      <c r="D7" s="244" t="s">
        <v>301</v>
      </c>
      <c r="E7" s="316">
        <v>4</v>
      </c>
      <c r="F7" s="317">
        <v>90</v>
      </c>
      <c r="G7" s="318">
        <v>0.45600000000000002</v>
      </c>
      <c r="H7" s="319">
        <v>13.68</v>
      </c>
      <c r="I7" s="316">
        <v>14.8</v>
      </c>
      <c r="J7" s="316">
        <v>36.335999999999999</v>
      </c>
      <c r="K7" s="25">
        <v>57.6</v>
      </c>
      <c r="L7" s="381" t="s">
        <v>259</v>
      </c>
    </row>
    <row r="8" spans="1:12" s="306" customFormat="1" ht="12" x14ac:dyDescent="0.2">
      <c r="A8" s="314">
        <v>4</v>
      </c>
      <c r="B8" s="315" t="s">
        <v>30</v>
      </c>
      <c r="C8" s="244" t="s">
        <v>31</v>
      </c>
      <c r="D8" s="244" t="s">
        <v>32</v>
      </c>
      <c r="E8" s="316">
        <v>1</v>
      </c>
      <c r="F8" s="317">
        <v>1000</v>
      </c>
      <c r="G8" s="320">
        <f>I8/F8</f>
        <v>8.599999999999999E-5</v>
      </c>
      <c r="H8" s="321">
        <f>I8</f>
        <v>8.5999999999999993E-2</v>
      </c>
      <c r="I8" s="316">
        <v>8.5999999999999993E-2</v>
      </c>
      <c r="J8" s="316">
        <v>0.22800000000000001</v>
      </c>
      <c r="K8" s="389">
        <v>4.3099999999999996</v>
      </c>
      <c r="L8" s="381"/>
    </row>
    <row r="9" spans="1:12" s="306" customFormat="1" ht="12" x14ac:dyDescent="0.2">
      <c r="A9" s="314">
        <v>5</v>
      </c>
      <c r="B9" s="315" t="s">
        <v>229</v>
      </c>
      <c r="C9" s="244" t="s">
        <v>33</v>
      </c>
      <c r="D9" s="244" t="s">
        <v>34</v>
      </c>
      <c r="E9" s="316">
        <v>136</v>
      </c>
      <c r="F9" s="317">
        <v>150</v>
      </c>
      <c r="G9" s="318">
        <v>9.1999999999999998E-2</v>
      </c>
      <c r="H9" s="319">
        <f>F9*G9</f>
        <v>13.799999999999999</v>
      </c>
      <c r="I9" s="316">
        <v>15.1</v>
      </c>
      <c r="J9" s="316">
        <v>26</v>
      </c>
      <c r="K9" s="25">
        <v>54</v>
      </c>
      <c r="L9" s="381" t="s">
        <v>256</v>
      </c>
    </row>
    <row r="10" spans="1:12" s="306" customFormat="1" ht="12" x14ac:dyDescent="0.2">
      <c r="A10" s="314">
        <v>6</v>
      </c>
      <c r="B10" s="315" t="s">
        <v>35</v>
      </c>
      <c r="C10" s="244" t="s">
        <v>36</v>
      </c>
      <c r="D10" s="244" t="s">
        <v>37</v>
      </c>
      <c r="E10" s="316">
        <v>1</v>
      </c>
      <c r="F10" s="317">
        <v>500</v>
      </c>
      <c r="G10" s="320">
        <f>I10/F10</f>
        <v>4.7599999999999997E-4</v>
      </c>
      <c r="H10" s="321">
        <f>I10</f>
        <v>0.23799999999999999</v>
      </c>
      <c r="I10" s="316">
        <v>0.23799999999999999</v>
      </c>
      <c r="J10" s="316">
        <v>0.94099999999999995</v>
      </c>
      <c r="K10" s="389">
        <v>7.16</v>
      </c>
      <c r="L10" s="381"/>
    </row>
    <row r="11" spans="1:12" s="306" customFormat="1" ht="12" x14ac:dyDescent="0.2">
      <c r="A11" s="314">
        <v>7</v>
      </c>
      <c r="B11" s="315" t="s">
        <v>38</v>
      </c>
      <c r="C11" s="244" t="s">
        <v>36</v>
      </c>
      <c r="D11" s="244" t="s">
        <v>37</v>
      </c>
      <c r="E11" s="316">
        <v>1</v>
      </c>
      <c r="F11" s="317">
        <v>500</v>
      </c>
      <c r="G11" s="320">
        <f>I11/F11</f>
        <v>4.8799999999999999E-4</v>
      </c>
      <c r="H11" s="321">
        <f>I11</f>
        <v>0.24399999999999999</v>
      </c>
      <c r="I11" s="316">
        <v>0.24399999999999999</v>
      </c>
      <c r="J11" s="316">
        <v>0.65900000000000003</v>
      </c>
      <c r="K11" s="389">
        <v>9.17</v>
      </c>
      <c r="L11" s="381"/>
    </row>
    <row r="12" spans="1:12" s="306" customFormat="1" ht="12" x14ac:dyDescent="0.2">
      <c r="A12" s="314">
        <v>8</v>
      </c>
      <c r="B12" s="322" t="s">
        <v>41</v>
      </c>
      <c r="C12" s="244" t="s">
        <v>42</v>
      </c>
      <c r="D12" s="323" t="s">
        <v>43</v>
      </c>
      <c r="E12" s="316">
        <v>1</v>
      </c>
      <c r="F12" s="317">
        <v>1</v>
      </c>
      <c r="G12" s="320">
        <f>I12/F12</f>
        <v>0.129</v>
      </c>
      <c r="H12" s="321">
        <f>I12</f>
        <v>0.129</v>
      </c>
      <c r="I12" s="316">
        <v>0.129</v>
      </c>
      <c r="J12" s="316">
        <v>0.42499999999999999</v>
      </c>
      <c r="K12" s="389">
        <v>0.46</v>
      </c>
      <c r="L12" s="381"/>
    </row>
    <row r="13" spans="1:12" s="306" customFormat="1" ht="12" x14ac:dyDescent="0.2">
      <c r="A13" s="314">
        <v>9</v>
      </c>
      <c r="B13" s="324" t="s">
        <v>44</v>
      </c>
      <c r="C13" s="323" t="s">
        <v>45</v>
      </c>
      <c r="D13" s="323" t="s">
        <v>46</v>
      </c>
      <c r="E13" s="316">
        <v>280</v>
      </c>
      <c r="F13" s="317">
        <f>9*24</f>
        <v>216</v>
      </c>
      <c r="G13" s="318">
        <v>5.6800000000000003E-2</v>
      </c>
      <c r="H13" s="319">
        <f>F13*G13</f>
        <v>12.268800000000001</v>
      </c>
      <c r="I13" s="316">
        <v>13.2</v>
      </c>
      <c r="J13" s="316">
        <v>16</v>
      </c>
      <c r="K13" s="389">
        <v>56.97</v>
      </c>
      <c r="L13" s="381" t="s">
        <v>260</v>
      </c>
    </row>
    <row r="14" spans="1:12" s="306" customFormat="1" ht="12" x14ac:dyDescent="0.2">
      <c r="A14" s="314">
        <v>10</v>
      </c>
      <c r="B14" s="315" t="s">
        <v>39</v>
      </c>
      <c r="C14" s="244" t="s">
        <v>40</v>
      </c>
      <c r="D14" s="244" t="s">
        <v>32</v>
      </c>
      <c r="E14" s="316">
        <v>1</v>
      </c>
      <c r="F14" s="317">
        <v>100</v>
      </c>
      <c r="G14" s="320">
        <f>I14/F14</f>
        <v>8.9999999999999998E-4</v>
      </c>
      <c r="H14" s="321">
        <f>I14</f>
        <v>0.09</v>
      </c>
      <c r="I14" s="316">
        <v>0.09</v>
      </c>
      <c r="J14" s="316">
        <v>0.30574299999999999</v>
      </c>
      <c r="K14" s="25">
        <v>2.71</v>
      </c>
      <c r="L14" s="381" t="s">
        <v>261</v>
      </c>
    </row>
    <row r="15" spans="1:12" s="306" customFormat="1" ht="12" x14ac:dyDescent="0.2">
      <c r="A15" s="314">
        <v>11</v>
      </c>
      <c r="B15" s="315" t="s">
        <v>47</v>
      </c>
      <c r="C15" s="244" t="s">
        <v>40</v>
      </c>
      <c r="D15" s="244" t="s">
        <v>32</v>
      </c>
      <c r="E15" s="316">
        <v>1</v>
      </c>
      <c r="F15" s="317">
        <v>100</v>
      </c>
      <c r="G15" s="325">
        <f>I15/F15</f>
        <v>7.6999999999999996E-4</v>
      </c>
      <c r="H15" s="316">
        <f>I15</f>
        <v>7.6999999999999999E-2</v>
      </c>
      <c r="I15" s="316">
        <v>7.6999999999999999E-2</v>
      </c>
      <c r="J15" s="316">
        <v>0.249</v>
      </c>
      <c r="K15" s="25">
        <v>2.1</v>
      </c>
      <c r="L15" s="381"/>
    </row>
    <row r="16" spans="1:12" s="306" customFormat="1" ht="12" x14ac:dyDescent="0.2">
      <c r="A16" s="314">
        <v>12</v>
      </c>
      <c r="B16" s="345" t="s">
        <v>115</v>
      </c>
      <c r="C16" s="346" t="s">
        <v>51</v>
      </c>
      <c r="D16" s="346" t="s">
        <v>24</v>
      </c>
      <c r="E16" s="347">
        <v>1</v>
      </c>
      <c r="F16" s="348">
        <v>0</v>
      </c>
      <c r="G16" s="349">
        <v>0</v>
      </c>
      <c r="H16" s="347">
        <v>0</v>
      </c>
      <c r="I16" s="347">
        <v>0</v>
      </c>
      <c r="J16" s="347">
        <v>0</v>
      </c>
      <c r="K16" s="25">
        <v>0</v>
      </c>
      <c r="L16" s="381"/>
    </row>
    <row r="17" spans="1:12" s="306" customFormat="1" ht="12" x14ac:dyDescent="0.2">
      <c r="A17" s="314">
        <v>13</v>
      </c>
      <c r="B17" s="345" t="s">
        <v>116</v>
      </c>
      <c r="C17" s="346" t="s">
        <v>51</v>
      </c>
      <c r="D17" s="346" t="s">
        <v>24</v>
      </c>
      <c r="E17" s="347">
        <v>1</v>
      </c>
      <c r="F17" s="348">
        <v>0</v>
      </c>
      <c r="G17" s="349">
        <v>0</v>
      </c>
      <c r="H17" s="347">
        <v>0</v>
      </c>
      <c r="I17" s="347">
        <v>0</v>
      </c>
      <c r="J17" s="347">
        <v>0</v>
      </c>
      <c r="K17" s="25">
        <v>0</v>
      </c>
      <c r="L17" s="381"/>
    </row>
    <row r="18" spans="1:12" s="306" customFormat="1" ht="12" x14ac:dyDescent="0.2">
      <c r="A18" s="314">
        <v>14</v>
      </c>
      <c r="B18" s="345" t="s">
        <v>117</v>
      </c>
      <c r="C18" s="346" t="s">
        <v>51</v>
      </c>
      <c r="D18" s="346" t="s">
        <v>24</v>
      </c>
      <c r="E18" s="347">
        <v>1</v>
      </c>
      <c r="F18" s="348">
        <v>0</v>
      </c>
      <c r="G18" s="349">
        <v>0</v>
      </c>
      <c r="H18" s="347">
        <v>0</v>
      </c>
      <c r="I18" s="347">
        <v>0</v>
      </c>
      <c r="J18" s="347">
        <v>0</v>
      </c>
      <c r="K18" s="25">
        <v>0</v>
      </c>
      <c r="L18" s="381"/>
    </row>
    <row r="19" spans="1:12" s="306" customFormat="1" ht="12" x14ac:dyDescent="0.2">
      <c r="A19" s="314">
        <v>15</v>
      </c>
      <c r="B19" s="345" t="s">
        <v>118</v>
      </c>
      <c r="C19" s="346" t="s">
        <v>51</v>
      </c>
      <c r="D19" s="346" t="s">
        <v>24</v>
      </c>
      <c r="E19" s="347">
        <v>1</v>
      </c>
      <c r="F19" s="348">
        <v>0</v>
      </c>
      <c r="G19" s="349">
        <v>0</v>
      </c>
      <c r="H19" s="347">
        <v>0</v>
      </c>
      <c r="I19" s="347">
        <v>0</v>
      </c>
      <c r="J19" s="347">
        <v>0</v>
      </c>
      <c r="K19" s="25">
        <v>0</v>
      </c>
      <c r="L19" s="381"/>
    </row>
    <row r="20" spans="1:12" x14ac:dyDescent="0.2">
      <c r="A20" s="326">
        <v>16</v>
      </c>
      <c r="B20" s="345" t="s">
        <v>119</v>
      </c>
      <c r="C20" s="346" t="s">
        <v>51</v>
      </c>
      <c r="D20" s="346" t="s">
        <v>24</v>
      </c>
      <c r="E20" s="347">
        <v>1</v>
      </c>
      <c r="F20" s="348">
        <v>0</v>
      </c>
      <c r="G20" s="349">
        <v>0</v>
      </c>
      <c r="H20" s="347">
        <v>0</v>
      </c>
      <c r="I20" s="347">
        <v>0</v>
      </c>
      <c r="J20" s="347">
        <v>0</v>
      </c>
      <c r="K20" s="25">
        <v>0</v>
      </c>
      <c r="L20" s="381"/>
    </row>
    <row r="21" spans="1:12" x14ac:dyDescent="0.2">
      <c r="A21" s="326">
        <v>17</v>
      </c>
      <c r="B21" s="345" t="s">
        <v>120</v>
      </c>
      <c r="C21" s="346" t="s">
        <v>51</v>
      </c>
      <c r="D21" s="346" t="s">
        <v>24</v>
      </c>
      <c r="E21" s="347">
        <v>1</v>
      </c>
      <c r="F21" s="348">
        <v>0</v>
      </c>
      <c r="G21" s="349">
        <v>0</v>
      </c>
      <c r="H21" s="347">
        <v>0</v>
      </c>
      <c r="I21" s="347">
        <v>0</v>
      </c>
      <c r="J21" s="347">
        <v>0</v>
      </c>
      <c r="K21" s="25">
        <v>0</v>
      </c>
      <c r="L21" s="381"/>
    </row>
    <row r="22" spans="1:12" x14ac:dyDescent="0.2">
      <c r="A22" s="326">
        <v>18</v>
      </c>
      <c r="B22" s="345" t="s">
        <v>121</v>
      </c>
      <c r="C22" s="346" t="s">
        <v>51</v>
      </c>
      <c r="D22" s="346" t="s">
        <v>24</v>
      </c>
      <c r="E22" s="347">
        <v>1</v>
      </c>
      <c r="F22" s="348">
        <v>0</v>
      </c>
      <c r="G22" s="349">
        <v>0</v>
      </c>
      <c r="H22" s="347">
        <v>0</v>
      </c>
      <c r="I22" s="347">
        <v>0</v>
      </c>
      <c r="J22" s="347">
        <v>0</v>
      </c>
      <c r="K22" s="25">
        <v>0</v>
      </c>
      <c r="L22" s="381"/>
    </row>
    <row r="23" spans="1:12" x14ac:dyDescent="0.2">
      <c r="A23" s="326">
        <v>19</v>
      </c>
      <c r="B23" s="345" t="s">
        <v>122</v>
      </c>
      <c r="C23" s="346" t="s">
        <v>51</v>
      </c>
      <c r="D23" s="346" t="s">
        <v>24</v>
      </c>
      <c r="E23" s="347">
        <v>1</v>
      </c>
      <c r="F23" s="348">
        <v>0</v>
      </c>
      <c r="G23" s="349">
        <v>0</v>
      </c>
      <c r="H23" s="347">
        <v>0</v>
      </c>
      <c r="I23" s="347">
        <v>0</v>
      </c>
      <c r="J23" s="347">
        <v>0</v>
      </c>
      <c r="K23" s="25">
        <v>0</v>
      </c>
      <c r="L23" s="381"/>
    </row>
    <row r="24" spans="1:12" x14ac:dyDescent="0.2">
      <c r="A24" s="326">
        <v>20</v>
      </c>
      <c r="B24" s="345" t="s">
        <v>123</v>
      </c>
      <c r="C24" s="346" t="s">
        <v>51</v>
      </c>
      <c r="D24" s="346" t="s">
        <v>24</v>
      </c>
      <c r="E24" s="347">
        <v>1</v>
      </c>
      <c r="F24" s="348">
        <v>0</v>
      </c>
      <c r="G24" s="349">
        <v>0</v>
      </c>
      <c r="H24" s="347">
        <v>0</v>
      </c>
      <c r="I24" s="347">
        <v>0</v>
      </c>
      <c r="J24" s="347">
        <v>0</v>
      </c>
      <c r="K24" s="25">
        <v>0</v>
      </c>
      <c r="L24" s="381"/>
    </row>
    <row r="26" spans="1:12" x14ac:dyDescent="0.2">
      <c r="B26" s="229" t="s">
        <v>48</v>
      </c>
      <c r="C26" s="306"/>
      <c r="D26" s="306"/>
      <c r="E26" s="306"/>
      <c r="F26" s="306"/>
      <c r="G26" s="476" t="s">
        <v>49</v>
      </c>
      <c r="H26" s="476"/>
      <c r="I26" s="476"/>
    </row>
    <row r="27" spans="1:12" x14ac:dyDescent="0.2">
      <c r="B27" s="327" t="s">
        <v>50</v>
      </c>
      <c r="C27" s="306"/>
      <c r="D27" s="306"/>
      <c r="E27" s="306"/>
      <c r="F27" s="306"/>
      <c r="G27" s="306"/>
      <c r="H27" s="306"/>
      <c r="I27" s="306"/>
      <c r="J27" s="306"/>
      <c r="K27" s="306"/>
    </row>
    <row r="28" spans="1:12" x14ac:dyDescent="0.2">
      <c r="B28" s="368" t="s">
        <v>308</v>
      </c>
    </row>
    <row r="29" spans="1:12" x14ac:dyDescent="0.2">
      <c r="B29" s="328"/>
    </row>
    <row r="30" spans="1:12" x14ac:dyDescent="0.2">
      <c r="B30" s="328"/>
    </row>
  </sheetData>
  <sheetProtection password="F206" sheet="1" objects="1" scenarios="1" formatColumns="0"/>
  <mergeCells count="1">
    <mergeCell ref="G26:I26"/>
  </mergeCells>
  <phoneticPr fontId="3" type="noConversion"/>
  <hyperlinks>
    <hyperlink ref="G26" r:id="rId1"/>
  </hyperlinks>
  <pageMargins left="0.23622047244094491" right="0.27559055118110237" top="0.98425196850393704" bottom="0.98425196850393704" header="0.51181102362204722" footer="0.51181102362204722"/>
  <pageSetup scale="54" orientation="landscape" r:id="rId2"/>
  <headerFooter alignWithMargins="0"/>
  <ignoredErrors>
    <ignoredError sqref="H9 H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D42"/>
  <sheetViews>
    <sheetView workbookViewId="0">
      <selection activeCell="B10" sqref="B10"/>
    </sheetView>
  </sheetViews>
  <sheetFormatPr defaultRowHeight="12.75" x14ac:dyDescent="0.2"/>
  <cols>
    <col min="2" max="2" width="16.85546875" customWidth="1"/>
    <col min="3" max="3" width="8.85546875" customWidth="1"/>
    <col min="4" max="4" width="9.7109375" customWidth="1"/>
  </cols>
  <sheetData>
    <row r="2" spans="2:4" x14ac:dyDescent="0.2">
      <c r="B2" s="34" t="s">
        <v>69</v>
      </c>
      <c r="D2" s="35">
        <f ca="1">IF(OR(ISBLANK(Input!C16),ISBLANK(Input!C17)),NOW(),DATEVALUE(Input!C17&amp;" "&amp;Input!C16))</f>
        <v>40909</v>
      </c>
    </row>
    <row r="3" spans="2:4" x14ac:dyDescent="0.2">
      <c r="B3" s="34" t="s">
        <v>70</v>
      </c>
      <c r="D3" s="35">
        <f ca="1">MONTH(D2)</f>
        <v>1</v>
      </c>
    </row>
    <row r="5" spans="2:4" x14ac:dyDescent="0.2">
      <c r="B5" s="34" t="s">
        <v>71</v>
      </c>
    </row>
    <row r="6" spans="2:4" x14ac:dyDescent="0.2">
      <c r="B6" s="33" t="s">
        <v>72</v>
      </c>
      <c r="C6" s="33" t="s">
        <v>73</v>
      </c>
      <c r="D6" s="33" t="s">
        <v>74</v>
      </c>
    </row>
    <row r="7" spans="2:4" x14ac:dyDescent="0.2">
      <c r="B7" s="32">
        <v>-11</v>
      </c>
      <c r="C7" s="32" t="s">
        <v>75</v>
      </c>
      <c r="D7" s="32">
        <f ca="1">YEAR($D$2)-1</f>
        <v>2011</v>
      </c>
    </row>
    <row r="8" spans="2:4" x14ac:dyDescent="0.2">
      <c r="B8" s="32">
        <v>-10</v>
      </c>
      <c r="C8" s="32" t="s">
        <v>76</v>
      </c>
      <c r="D8" s="32">
        <f t="shared" ref="D8:D18" ca="1" si="0">YEAR($D$2)-1</f>
        <v>2011</v>
      </c>
    </row>
    <row r="9" spans="2:4" x14ac:dyDescent="0.2">
      <c r="B9" s="32">
        <v>-9</v>
      </c>
      <c r="C9" s="32" t="s">
        <v>77</v>
      </c>
      <c r="D9" s="32">
        <f t="shared" ca="1" si="0"/>
        <v>2011</v>
      </c>
    </row>
    <row r="10" spans="2:4" x14ac:dyDescent="0.2">
      <c r="B10" s="32">
        <v>-8</v>
      </c>
      <c r="C10" s="32" t="s">
        <v>78</v>
      </c>
      <c r="D10" s="32">
        <f t="shared" ca="1" si="0"/>
        <v>2011</v>
      </c>
    </row>
    <row r="11" spans="2:4" x14ac:dyDescent="0.2">
      <c r="B11" s="32">
        <v>-7</v>
      </c>
      <c r="C11" s="32" t="s">
        <v>79</v>
      </c>
      <c r="D11" s="32">
        <f t="shared" ca="1" si="0"/>
        <v>2011</v>
      </c>
    </row>
    <row r="12" spans="2:4" x14ac:dyDescent="0.2">
      <c r="B12" s="32">
        <v>-6</v>
      </c>
      <c r="C12" s="32" t="s">
        <v>80</v>
      </c>
      <c r="D12" s="32">
        <f t="shared" ca="1" si="0"/>
        <v>2011</v>
      </c>
    </row>
    <row r="13" spans="2:4" x14ac:dyDescent="0.2">
      <c r="B13" s="32">
        <v>-5</v>
      </c>
      <c r="C13" s="32" t="s">
        <v>81</v>
      </c>
      <c r="D13" s="32">
        <f t="shared" ca="1" si="0"/>
        <v>2011</v>
      </c>
    </row>
    <row r="14" spans="2:4" x14ac:dyDescent="0.2">
      <c r="B14" s="32">
        <v>-4</v>
      </c>
      <c r="C14" s="32" t="s">
        <v>82</v>
      </c>
      <c r="D14" s="32">
        <f t="shared" ca="1" si="0"/>
        <v>2011</v>
      </c>
    </row>
    <row r="15" spans="2:4" x14ac:dyDescent="0.2">
      <c r="B15" s="32">
        <v>-3</v>
      </c>
      <c r="C15" s="32" t="s">
        <v>83</v>
      </c>
      <c r="D15" s="32">
        <f t="shared" ca="1" si="0"/>
        <v>2011</v>
      </c>
    </row>
    <row r="16" spans="2:4" x14ac:dyDescent="0.2">
      <c r="B16" s="32">
        <v>-2</v>
      </c>
      <c r="C16" s="32" t="s">
        <v>84</v>
      </c>
      <c r="D16" s="32">
        <f t="shared" ca="1" si="0"/>
        <v>2011</v>
      </c>
    </row>
    <row r="17" spans="2:4" x14ac:dyDescent="0.2">
      <c r="B17" s="32">
        <v>-1</v>
      </c>
      <c r="C17" s="32" t="s">
        <v>85</v>
      </c>
      <c r="D17" s="32">
        <f t="shared" ca="1" si="0"/>
        <v>2011</v>
      </c>
    </row>
    <row r="18" spans="2:4" x14ac:dyDescent="0.2">
      <c r="B18" s="32">
        <v>0</v>
      </c>
      <c r="C18" s="32" t="s">
        <v>86</v>
      </c>
      <c r="D18" s="32">
        <f t="shared" ca="1" si="0"/>
        <v>2011</v>
      </c>
    </row>
    <row r="19" spans="2:4" x14ac:dyDescent="0.2">
      <c r="B19" s="32">
        <v>1</v>
      </c>
      <c r="C19" s="32" t="s">
        <v>75</v>
      </c>
      <c r="D19" s="32">
        <f ca="1">YEAR($D$2)</f>
        <v>2012</v>
      </c>
    </row>
    <row r="20" spans="2:4" x14ac:dyDescent="0.2">
      <c r="B20" s="32">
        <v>2</v>
      </c>
      <c r="C20" s="32" t="s">
        <v>76</v>
      </c>
      <c r="D20" s="32">
        <f t="shared" ref="D20:D30" ca="1" si="1">YEAR($D$2)</f>
        <v>2012</v>
      </c>
    </row>
    <row r="21" spans="2:4" x14ac:dyDescent="0.2">
      <c r="B21" s="32">
        <v>3</v>
      </c>
      <c r="C21" s="32" t="s">
        <v>77</v>
      </c>
      <c r="D21" s="32">
        <f t="shared" ca="1" si="1"/>
        <v>2012</v>
      </c>
    </row>
    <row r="22" spans="2:4" x14ac:dyDescent="0.2">
      <c r="B22" s="32">
        <v>4</v>
      </c>
      <c r="C22" s="32" t="s">
        <v>78</v>
      </c>
      <c r="D22" s="32">
        <f t="shared" ca="1" si="1"/>
        <v>2012</v>
      </c>
    </row>
    <row r="23" spans="2:4" x14ac:dyDescent="0.2">
      <c r="B23" s="32">
        <v>5</v>
      </c>
      <c r="C23" s="32" t="s">
        <v>79</v>
      </c>
      <c r="D23" s="32">
        <f t="shared" ca="1" si="1"/>
        <v>2012</v>
      </c>
    </row>
    <row r="24" spans="2:4" x14ac:dyDescent="0.2">
      <c r="B24" s="32">
        <v>6</v>
      </c>
      <c r="C24" s="32" t="s">
        <v>80</v>
      </c>
      <c r="D24" s="32">
        <f t="shared" ca="1" si="1"/>
        <v>2012</v>
      </c>
    </row>
    <row r="25" spans="2:4" x14ac:dyDescent="0.2">
      <c r="B25" s="32">
        <v>7</v>
      </c>
      <c r="C25" s="32" t="s">
        <v>81</v>
      </c>
      <c r="D25" s="32">
        <f t="shared" ca="1" si="1"/>
        <v>2012</v>
      </c>
    </row>
    <row r="26" spans="2:4" x14ac:dyDescent="0.2">
      <c r="B26" s="32">
        <v>8</v>
      </c>
      <c r="C26" s="32" t="s">
        <v>82</v>
      </c>
      <c r="D26" s="32">
        <f t="shared" ca="1" si="1"/>
        <v>2012</v>
      </c>
    </row>
    <row r="27" spans="2:4" x14ac:dyDescent="0.2">
      <c r="B27" s="32">
        <v>9</v>
      </c>
      <c r="C27" s="32" t="s">
        <v>83</v>
      </c>
      <c r="D27" s="32">
        <f t="shared" ca="1" si="1"/>
        <v>2012</v>
      </c>
    </row>
    <row r="28" spans="2:4" x14ac:dyDescent="0.2">
      <c r="B28" s="32">
        <v>10</v>
      </c>
      <c r="C28" s="32" t="s">
        <v>84</v>
      </c>
      <c r="D28" s="32">
        <f t="shared" ca="1" si="1"/>
        <v>2012</v>
      </c>
    </row>
    <row r="29" spans="2:4" x14ac:dyDescent="0.2">
      <c r="B29" s="32">
        <v>11</v>
      </c>
      <c r="C29" s="32" t="s">
        <v>85</v>
      </c>
      <c r="D29" s="32">
        <f t="shared" ca="1" si="1"/>
        <v>2012</v>
      </c>
    </row>
    <row r="30" spans="2:4" x14ac:dyDescent="0.2">
      <c r="B30" s="32">
        <v>12</v>
      </c>
      <c r="C30" s="32" t="s">
        <v>86</v>
      </c>
      <c r="D30" s="32">
        <f t="shared" ca="1" si="1"/>
        <v>2012</v>
      </c>
    </row>
    <row r="31" spans="2:4" x14ac:dyDescent="0.2">
      <c r="B31" s="32">
        <v>13</v>
      </c>
      <c r="C31" s="32" t="s">
        <v>75</v>
      </c>
      <c r="D31" s="32">
        <f ca="1">YEAR($D$2)+1</f>
        <v>2013</v>
      </c>
    </row>
    <row r="32" spans="2:4" x14ac:dyDescent="0.2">
      <c r="B32" s="32">
        <v>14</v>
      </c>
      <c r="C32" s="32" t="s">
        <v>76</v>
      </c>
      <c r="D32" s="32">
        <f t="shared" ref="D32:D42" ca="1" si="2">YEAR($D$2)+1</f>
        <v>2013</v>
      </c>
    </row>
    <row r="33" spans="2:4" x14ac:dyDescent="0.2">
      <c r="B33" s="32">
        <v>15</v>
      </c>
      <c r="C33" s="32" t="s">
        <v>77</v>
      </c>
      <c r="D33" s="32">
        <f t="shared" ca="1" si="2"/>
        <v>2013</v>
      </c>
    </row>
    <row r="34" spans="2:4" x14ac:dyDescent="0.2">
      <c r="B34" s="32">
        <v>16</v>
      </c>
      <c r="C34" s="32" t="s">
        <v>78</v>
      </c>
      <c r="D34" s="32">
        <f t="shared" ca="1" si="2"/>
        <v>2013</v>
      </c>
    </row>
    <row r="35" spans="2:4" x14ac:dyDescent="0.2">
      <c r="B35" s="32">
        <v>17</v>
      </c>
      <c r="C35" s="32" t="s">
        <v>79</v>
      </c>
      <c r="D35" s="32">
        <f t="shared" ca="1" si="2"/>
        <v>2013</v>
      </c>
    </row>
    <row r="36" spans="2:4" x14ac:dyDescent="0.2">
      <c r="B36" s="32">
        <v>18</v>
      </c>
      <c r="C36" s="32" t="s">
        <v>80</v>
      </c>
      <c r="D36" s="32">
        <f t="shared" ca="1" si="2"/>
        <v>2013</v>
      </c>
    </row>
    <row r="37" spans="2:4" x14ac:dyDescent="0.2">
      <c r="B37" s="32">
        <v>19</v>
      </c>
      <c r="C37" s="32" t="s">
        <v>81</v>
      </c>
      <c r="D37" s="32">
        <f t="shared" ca="1" si="2"/>
        <v>2013</v>
      </c>
    </row>
    <row r="38" spans="2:4" x14ac:dyDescent="0.2">
      <c r="B38" s="32">
        <v>20</v>
      </c>
      <c r="C38" s="32" t="s">
        <v>82</v>
      </c>
      <c r="D38" s="32">
        <f t="shared" ca="1" si="2"/>
        <v>2013</v>
      </c>
    </row>
    <row r="39" spans="2:4" x14ac:dyDescent="0.2">
      <c r="B39" s="32">
        <v>21</v>
      </c>
      <c r="C39" s="32" t="s">
        <v>83</v>
      </c>
      <c r="D39" s="32">
        <f t="shared" ca="1" si="2"/>
        <v>2013</v>
      </c>
    </row>
    <row r="40" spans="2:4" x14ac:dyDescent="0.2">
      <c r="B40" s="32">
        <v>22</v>
      </c>
      <c r="C40" s="32" t="s">
        <v>84</v>
      </c>
      <c r="D40" s="32">
        <f t="shared" ca="1" si="2"/>
        <v>2013</v>
      </c>
    </row>
    <row r="41" spans="2:4" x14ac:dyDescent="0.2">
      <c r="B41" s="32">
        <v>23</v>
      </c>
      <c r="C41" s="32" t="s">
        <v>85</v>
      </c>
      <c r="D41" s="32">
        <f t="shared" ca="1" si="2"/>
        <v>2013</v>
      </c>
    </row>
    <row r="42" spans="2:4" x14ac:dyDescent="0.2">
      <c r="B42" s="32">
        <v>24</v>
      </c>
      <c r="C42" s="32" t="s">
        <v>86</v>
      </c>
      <c r="D42" s="32">
        <f t="shared" ca="1" si="2"/>
        <v>2013</v>
      </c>
    </row>
  </sheetData>
  <sheetProtection password="F206" sheet="1" objects="1" scenarios="1"/>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heetViews>
  <sheetFormatPr defaultRowHeight="12.75" x14ac:dyDescent="0.2"/>
  <cols>
    <col min="1" max="1" width="15.42578125" customWidth="1"/>
    <col min="2" max="2" width="25.7109375" customWidth="1"/>
    <col min="3" max="3" width="9.140625" style="370" customWidth="1"/>
    <col min="4" max="5" width="15.85546875" customWidth="1"/>
    <col min="6" max="6" width="8" style="379" customWidth="1"/>
    <col min="7" max="9" width="18.140625" style="377" customWidth="1"/>
    <col min="10" max="12" width="9.140625" style="98" customWidth="1"/>
  </cols>
  <sheetData>
    <row r="1" spans="1:9" ht="25.5" x14ac:dyDescent="0.2">
      <c r="A1" s="369" t="s">
        <v>152</v>
      </c>
      <c r="B1" s="369" t="s">
        <v>153</v>
      </c>
      <c r="C1" s="369" t="s">
        <v>154</v>
      </c>
      <c r="D1" s="369" t="s">
        <v>155</v>
      </c>
      <c r="E1" s="369" t="s">
        <v>156</v>
      </c>
      <c r="F1" s="378" t="s">
        <v>154</v>
      </c>
      <c r="G1" s="376" t="s">
        <v>157</v>
      </c>
      <c r="H1" s="376" t="s">
        <v>158</v>
      </c>
      <c r="I1" s="376" t="s">
        <v>159</v>
      </c>
    </row>
    <row r="2" spans="1:9" x14ac:dyDescent="0.2">
      <c r="A2" s="388" t="s">
        <v>160</v>
      </c>
      <c r="B2" s="388" t="s">
        <v>161</v>
      </c>
      <c r="C2" s="392" t="s">
        <v>162</v>
      </c>
      <c r="D2" s="396">
        <v>5240.3999999999996</v>
      </c>
      <c r="E2" s="396">
        <v>8250</v>
      </c>
      <c r="F2" s="395" t="s">
        <v>162</v>
      </c>
      <c r="G2" s="397">
        <v>155.49738219895289</v>
      </c>
      <c r="H2" s="397">
        <v>6.2486910994764404</v>
      </c>
      <c r="I2" s="397">
        <v>6.2486910994764404</v>
      </c>
    </row>
    <row r="3" spans="1:9" x14ac:dyDescent="0.2">
      <c r="A3" s="388" t="s">
        <v>160</v>
      </c>
      <c r="B3" s="388" t="s">
        <v>163</v>
      </c>
      <c r="C3" s="392" t="s">
        <v>162</v>
      </c>
      <c r="D3" s="396">
        <v>3354.78</v>
      </c>
      <c r="E3" s="396">
        <v>5800.0800000000008</v>
      </c>
      <c r="F3" s="395" t="s">
        <v>162</v>
      </c>
      <c r="G3" s="397">
        <v>113.85</v>
      </c>
      <c r="H3" s="397">
        <v>5.1974999999999998</v>
      </c>
      <c r="I3" s="397">
        <v>4.4550000000000001</v>
      </c>
    </row>
    <row r="4" spans="1:9" x14ac:dyDescent="0.2">
      <c r="A4" s="388" t="s">
        <v>160</v>
      </c>
      <c r="B4" s="388" t="s">
        <v>164</v>
      </c>
      <c r="C4" s="392" t="s">
        <v>162</v>
      </c>
      <c r="D4" s="396">
        <v>1980.0000000000002</v>
      </c>
      <c r="E4" s="396">
        <v>2860.0000000000005</v>
      </c>
      <c r="F4" s="395" t="s">
        <v>162</v>
      </c>
      <c r="G4" s="397">
        <v>100.92982456140351</v>
      </c>
      <c r="H4" s="397">
        <v>5.9245614035087719</v>
      </c>
      <c r="I4" s="397">
        <v>5.9245614035087719</v>
      </c>
    </row>
    <row r="5" spans="1:9" x14ac:dyDescent="0.2">
      <c r="A5" s="388" t="s">
        <v>160</v>
      </c>
      <c r="B5" s="388" t="s">
        <v>165</v>
      </c>
      <c r="C5" s="392" t="s">
        <v>162</v>
      </c>
      <c r="D5" s="396">
        <v>2640</v>
      </c>
      <c r="E5" s="396">
        <v>3740.0000000000005</v>
      </c>
      <c r="F5" s="395" t="s">
        <v>162</v>
      </c>
      <c r="G5" s="397">
        <v>76.23</v>
      </c>
      <c r="H5" s="397">
        <v>3.1680000000000001</v>
      </c>
      <c r="I5" s="397">
        <v>1.4354999999999998</v>
      </c>
    </row>
    <row r="6" spans="1:9" x14ac:dyDescent="0.2">
      <c r="A6" s="388" t="s">
        <v>160</v>
      </c>
      <c r="B6" s="388" t="s">
        <v>166</v>
      </c>
      <c r="C6" s="392" t="s">
        <v>162</v>
      </c>
      <c r="D6" s="396">
        <v>2446.73</v>
      </c>
      <c r="E6" s="396">
        <v>4191.33</v>
      </c>
      <c r="F6" s="395" t="s">
        <v>162</v>
      </c>
      <c r="G6" s="397">
        <v>108.89999999999999</v>
      </c>
      <c r="H6" s="397">
        <v>6.633</v>
      </c>
      <c r="I6" s="397">
        <v>6.633</v>
      </c>
    </row>
    <row r="7" spans="1:9" x14ac:dyDescent="0.2">
      <c r="A7" s="388" t="s">
        <v>160</v>
      </c>
      <c r="B7" s="390" t="s">
        <v>309</v>
      </c>
      <c r="C7" s="392" t="s">
        <v>162</v>
      </c>
      <c r="D7" s="396">
        <v>3505.7000000000003</v>
      </c>
      <c r="E7" s="396">
        <v>5450.5</v>
      </c>
      <c r="F7" s="395" t="s">
        <v>162</v>
      </c>
      <c r="G7" s="397">
        <v>194.63399999999999</v>
      </c>
      <c r="H7" s="397">
        <v>6.6825000000000001</v>
      </c>
      <c r="I7" s="397">
        <v>5.1974999999999998</v>
      </c>
    </row>
    <row r="8" spans="1:9" x14ac:dyDescent="0.2">
      <c r="A8" s="388" t="s">
        <v>160</v>
      </c>
      <c r="B8" s="390" t="s">
        <v>310</v>
      </c>
      <c r="C8" s="392" t="s">
        <v>162</v>
      </c>
      <c r="D8" s="396">
        <v>3987.5</v>
      </c>
      <c r="E8" s="396">
        <v>7249</v>
      </c>
      <c r="F8" s="395" t="s">
        <v>162</v>
      </c>
      <c r="G8" s="397">
        <v>159.21052631578948</v>
      </c>
      <c r="H8" s="397">
        <v>7.1403508771929829</v>
      </c>
      <c r="I8" s="397">
        <v>6.7022807017543862</v>
      </c>
    </row>
    <row r="9" spans="1:9" x14ac:dyDescent="0.2">
      <c r="A9" s="388" t="s">
        <v>160</v>
      </c>
      <c r="B9" s="388" t="s">
        <v>167</v>
      </c>
      <c r="C9" s="392" t="s">
        <v>162</v>
      </c>
      <c r="D9" s="396">
        <v>6992.7</v>
      </c>
      <c r="E9" s="396">
        <v>10224.5</v>
      </c>
      <c r="F9" s="395" t="s">
        <v>162</v>
      </c>
      <c r="G9" s="397">
        <v>108.89999999999999</v>
      </c>
      <c r="H9" s="397">
        <v>6.4349999999999996</v>
      </c>
      <c r="I9" s="397">
        <v>6.4349999999999996</v>
      </c>
    </row>
    <row r="10" spans="1:9" x14ac:dyDescent="0.2">
      <c r="A10" s="388" t="s">
        <v>160</v>
      </c>
      <c r="B10" s="388" t="s">
        <v>168</v>
      </c>
      <c r="C10" s="392" t="s">
        <v>162</v>
      </c>
      <c r="D10" s="396">
        <v>6018.1</v>
      </c>
      <c r="E10" s="396">
        <v>11213.4</v>
      </c>
      <c r="F10" s="395" t="s">
        <v>162</v>
      </c>
      <c r="G10" s="397">
        <v>113.85</v>
      </c>
      <c r="H10" s="397">
        <v>3.2174999999999998</v>
      </c>
      <c r="I10" s="397">
        <v>2.6234999999999999</v>
      </c>
    </row>
    <row r="11" spans="1:9" x14ac:dyDescent="0.2">
      <c r="A11" s="388" t="s">
        <v>160</v>
      </c>
      <c r="B11" s="388" t="s">
        <v>169</v>
      </c>
      <c r="C11" s="392" t="s">
        <v>162</v>
      </c>
      <c r="D11" s="396">
        <v>2530</v>
      </c>
      <c r="E11" s="396">
        <v>3410.0000000000005</v>
      </c>
      <c r="F11" s="395" t="s">
        <v>162</v>
      </c>
      <c r="G11" s="397">
        <v>59.4</v>
      </c>
      <c r="H11" s="397">
        <v>2.4750000000000001</v>
      </c>
      <c r="I11" s="397">
        <v>1.3859999999999999</v>
      </c>
    </row>
    <row r="12" spans="1:9" x14ac:dyDescent="0.2">
      <c r="A12" s="388" t="s">
        <v>160</v>
      </c>
      <c r="B12" s="388" t="s">
        <v>170</v>
      </c>
      <c r="C12" s="392" t="s">
        <v>162</v>
      </c>
      <c r="D12" s="396">
        <v>3507.7900000000004</v>
      </c>
      <c r="E12" s="396">
        <v>5242.38</v>
      </c>
      <c r="F12" s="395" t="s">
        <v>162</v>
      </c>
      <c r="G12" s="397">
        <v>113.85</v>
      </c>
      <c r="H12" s="397">
        <v>5.5934999999999997</v>
      </c>
      <c r="I12" s="397">
        <v>5.2965</v>
      </c>
    </row>
    <row r="13" spans="1:9" x14ac:dyDescent="0.2">
      <c r="A13" s="388" t="s">
        <v>160</v>
      </c>
      <c r="B13" s="388" t="s">
        <v>171</v>
      </c>
      <c r="C13" s="392" t="s">
        <v>162</v>
      </c>
      <c r="D13" s="396">
        <v>9084.7900000000009</v>
      </c>
      <c r="E13" s="396">
        <v>15538.380000000001</v>
      </c>
      <c r="F13" s="395" t="s">
        <v>162</v>
      </c>
      <c r="G13" s="397">
        <v>108.89999999999999</v>
      </c>
      <c r="H13" s="397">
        <v>8.91</v>
      </c>
      <c r="I13" s="397">
        <v>8.91</v>
      </c>
    </row>
    <row r="14" spans="1:9" x14ac:dyDescent="0.2">
      <c r="A14" s="388" t="s">
        <v>160</v>
      </c>
      <c r="B14" s="388" t="s">
        <v>172</v>
      </c>
      <c r="C14" s="392" t="s">
        <v>162</v>
      </c>
      <c r="D14" s="396">
        <v>9513.7900000000009</v>
      </c>
      <c r="E14" s="396">
        <v>16896.88</v>
      </c>
      <c r="F14" s="395" t="s">
        <v>162</v>
      </c>
      <c r="G14" s="397">
        <v>108.89999999999999</v>
      </c>
      <c r="H14" s="397">
        <v>7.1280000000000001</v>
      </c>
      <c r="I14" s="397">
        <v>7.1280000000000001</v>
      </c>
    </row>
    <row r="15" spans="1:9" x14ac:dyDescent="0.2">
      <c r="A15" s="388" t="s">
        <v>160</v>
      </c>
      <c r="B15" s="390" t="s">
        <v>311</v>
      </c>
      <c r="C15" s="392" t="s">
        <v>162</v>
      </c>
      <c r="D15" s="396">
        <v>5259.54</v>
      </c>
      <c r="E15" s="396">
        <v>9274.9800000000014</v>
      </c>
      <c r="F15" s="395" t="s">
        <v>162</v>
      </c>
      <c r="G15" s="397">
        <v>318.42105263157896</v>
      </c>
      <c r="H15" s="397">
        <v>23.256315789473685</v>
      </c>
      <c r="I15" s="397">
        <v>23.256315789473685</v>
      </c>
    </row>
    <row r="16" spans="1:9" x14ac:dyDescent="0.2">
      <c r="A16" s="388" t="s">
        <v>160</v>
      </c>
      <c r="B16" s="388" t="s">
        <v>173</v>
      </c>
      <c r="C16" s="392" t="s">
        <v>162</v>
      </c>
      <c r="D16" s="396">
        <v>4794.79</v>
      </c>
      <c r="E16" s="396">
        <v>7716.2800000000007</v>
      </c>
      <c r="F16" s="395" t="s">
        <v>162</v>
      </c>
      <c r="G16" s="397">
        <v>108.89999999999999</v>
      </c>
      <c r="H16" s="397">
        <v>7.1280000000000001</v>
      </c>
      <c r="I16" s="397">
        <v>7.1280000000000001</v>
      </c>
    </row>
    <row r="17" spans="1:9" x14ac:dyDescent="0.2">
      <c r="A17" s="388" t="s">
        <v>160</v>
      </c>
      <c r="B17" s="388" t="s">
        <v>174</v>
      </c>
      <c r="C17" s="392" t="s">
        <v>162</v>
      </c>
      <c r="D17" s="396">
        <v>6643.7800000000007</v>
      </c>
      <c r="E17" s="396">
        <v>11891.880000000001</v>
      </c>
      <c r="F17" s="395" t="s">
        <v>162</v>
      </c>
      <c r="G17" s="397">
        <v>113.85</v>
      </c>
      <c r="H17" s="397">
        <v>2.5640999999999998</v>
      </c>
      <c r="I17" s="397">
        <v>2.1185999999999998</v>
      </c>
    </row>
    <row r="18" spans="1:9" x14ac:dyDescent="0.2">
      <c r="A18" s="388" t="s">
        <v>160</v>
      </c>
      <c r="B18" s="388" t="s">
        <v>175</v>
      </c>
      <c r="C18" s="392" t="s">
        <v>162</v>
      </c>
      <c r="D18" s="396">
        <v>2182.1799999999998</v>
      </c>
      <c r="E18" s="396">
        <v>3716.57</v>
      </c>
      <c r="F18" s="395" t="s">
        <v>162</v>
      </c>
      <c r="G18" s="397">
        <v>113.85</v>
      </c>
      <c r="H18" s="397">
        <v>3.7124999999999999</v>
      </c>
      <c r="I18" s="397">
        <v>2.6234999999999999</v>
      </c>
    </row>
    <row r="19" spans="1:9" x14ac:dyDescent="0.2">
      <c r="A19" s="388" t="s">
        <v>160</v>
      </c>
      <c r="B19" s="388" t="s">
        <v>176</v>
      </c>
      <c r="C19" s="392" t="s">
        <v>162</v>
      </c>
      <c r="D19" s="396">
        <v>7750.6</v>
      </c>
      <c r="E19" s="396">
        <v>14089.9</v>
      </c>
      <c r="F19" s="395" t="s">
        <v>162</v>
      </c>
      <c r="G19" s="397">
        <v>122.06140350877193</v>
      </c>
      <c r="H19" s="397">
        <v>8.0666666666666664</v>
      </c>
      <c r="I19" s="397">
        <v>8.0666666666666664</v>
      </c>
    </row>
    <row r="20" spans="1:9" x14ac:dyDescent="0.2">
      <c r="A20" s="388" t="s">
        <v>160</v>
      </c>
      <c r="B20" s="388" t="s">
        <v>177</v>
      </c>
      <c r="C20" s="392" t="s">
        <v>162</v>
      </c>
      <c r="D20" s="396">
        <v>2970.0000000000005</v>
      </c>
      <c r="E20" s="396">
        <v>5280</v>
      </c>
      <c r="F20" s="395" t="s">
        <v>162</v>
      </c>
      <c r="G20" s="397">
        <v>108.89999999999999</v>
      </c>
      <c r="H20" s="397">
        <v>6.93</v>
      </c>
      <c r="I20" s="397">
        <v>6.93</v>
      </c>
    </row>
    <row r="21" spans="1:9" x14ac:dyDescent="0.2">
      <c r="A21" s="388" t="s">
        <v>160</v>
      </c>
      <c r="B21" s="388" t="s">
        <v>178</v>
      </c>
      <c r="C21" s="392" t="s">
        <v>162</v>
      </c>
      <c r="D21" s="396">
        <v>3546.4</v>
      </c>
      <c r="E21" s="396">
        <v>6688</v>
      </c>
      <c r="F21" s="395" t="s">
        <v>162</v>
      </c>
      <c r="G21" s="397">
        <v>99</v>
      </c>
      <c r="H21" s="397">
        <v>8.1180000000000003</v>
      </c>
      <c r="I21" s="397">
        <v>2.4750000000000001</v>
      </c>
    </row>
    <row r="22" spans="1:9" x14ac:dyDescent="0.2">
      <c r="A22" s="388" t="s">
        <v>160</v>
      </c>
      <c r="B22" s="388" t="s">
        <v>179</v>
      </c>
      <c r="C22" s="392" t="s">
        <v>162</v>
      </c>
      <c r="D22" s="396">
        <v>5720.0000000000009</v>
      </c>
      <c r="E22" s="396">
        <v>10340</v>
      </c>
      <c r="F22" s="395" t="s">
        <v>162</v>
      </c>
      <c r="G22" s="397">
        <v>108.89999999999999</v>
      </c>
      <c r="H22" s="397">
        <v>2.9699999999999998</v>
      </c>
      <c r="I22" s="397">
        <v>2.9699999999999998</v>
      </c>
    </row>
    <row r="23" spans="1:9" x14ac:dyDescent="0.2">
      <c r="A23" s="388" t="s">
        <v>160</v>
      </c>
      <c r="B23" s="388" t="s">
        <v>180</v>
      </c>
      <c r="C23" s="392" t="s">
        <v>162</v>
      </c>
      <c r="D23" s="396">
        <v>4365.79</v>
      </c>
      <c r="E23" s="396">
        <v>6843.9800000000005</v>
      </c>
      <c r="F23" s="395" t="s">
        <v>162</v>
      </c>
      <c r="G23" s="397">
        <v>108.89999999999999</v>
      </c>
      <c r="H23" s="397">
        <v>6.3360000000000003</v>
      </c>
      <c r="I23" s="397">
        <v>6.3360000000000003</v>
      </c>
    </row>
    <row r="24" spans="1:9" x14ac:dyDescent="0.2">
      <c r="A24" s="388" t="s">
        <v>160</v>
      </c>
      <c r="B24" s="388" t="s">
        <v>181</v>
      </c>
      <c r="C24" s="392" t="s">
        <v>162</v>
      </c>
      <c r="D24" s="396">
        <v>3865.2900000000004</v>
      </c>
      <c r="E24" s="396">
        <v>5885.880000000001</v>
      </c>
      <c r="F24" s="395" t="s">
        <v>162</v>
      </c>
      <c r="G24" s="397">
        <v>113.85</v>
      </c>
      <c r="H24" s="397">
        <v>5.0490000000000004</v>
      </c>
      <c r="I24" s="397">
        <v>4.6034999999999995</v>
      </c>
    </row>
    <row r="25" spans="1:9" x14ac:dyDescent="0.2">
      <c r="A25" s="388" t="s">
        <v>160</v>
      </c>
      <c r="B25" s="388" t="s">
        <v>182</v>
      </c>
      <c r="C25" s="392" t="s">
        <v>162</v>
      </c>
      <c r="D25" s="396">
        <v>2530</v>
      </c>
      <c r="E25" s="396">
        <v>3520.0000000000005</v>
      </c>
      <c r="F25" s="395" t="s">
        <v>162</v>
      </c>
      <c r="G25" s="397">
        <v>95.526315789473685</v>
      </c>
      <c r="H25" s="397">
        <v>4.9249122807017542</v>
      </c>
      <c r="I25" s="397">
        <v>4.9249122807017542</v>
      </c>
    </row>
    <row r="26" spans="1:9" x14ac:dyDescent="0.2">
      <c r="A26" s="388" t="s">
        <v>160</v>
      </c>
      <c r="B26" s="388" t="s">
        <v>183</v>
      </c>
      <c r="C26" s="392" t="s">
        <v>162</v>
      </c>
      <c r="D26" s="396">
        <v>3450.59</v>
      </c>
      <c r="E26" s="396">
        <v>5156.58</v>
      </c>
      <c r="F26" s="395" t="s">
        <v>162</v>
      </c>
      <c r="G26" s="397">
        <v>108.89999999999999</v>
      </c>
      <c r="H26" s="397">
        <v>2.9699999999999998</v>
      </c>
      <c r="I26" s="397">
        <v>2.9699999999999998</v>
      </c>
    </row>
    <row r="27" spans="1:9" x14ac:dyDescent="0.2">
      <c r="A27" s="388" t="s">
        <v>160</v>
      </c>
      <c r="B27" s="390" t="s">
        <v>312</v>
      </c>
      <c r="C27" s="392" t="s">
        <v>162</v>
      </c>
      <c r="D27" s="396">
        <v>2520.1000000000004</v>
      </c>
      <c r="E27" s="396">
        <v>4044.7000000000003</v>
      </c>
      <c r="F27" s="395" t="s">
        <v>162</v>
      </c>
      <c r="G27" s="397">
        <v>143.28947368421055</v>
      </c>
      <c r="H27" s="397">
        <v>5.2587719298245617</v>
      </c>
      <c r="I27" s="397">
        <v>5.0368421052631591</v>
      </c>
    </row>
    <row r="28" spans="1:9" x14ac:dyDescent="0.2">
      <c r="A28" s="388" t="s">
        <v>160</v>
      </c>
      <c r="B28" s="388" t="s">
        <v>184</v>
      </c>
      <c r="C28" s="392" t="s">
        <v>162</v>
      </c>
      <c r="D28" s="396">
        <v>4330.04</v>
      </c>
      <c r="E28" s="396">
        <v>6872.5800000000008</v>
      </c>
      <c r="F28" s="395" t="s">
        <v>162</v>
      </c>
      <c r="G28" s="397">
        <v>108.89999999999999</v>
      </c>
      <c r="H28" s="397">
        <v>6.4349999999999996</v>
      </c>
      <c r="I28" s="397">
        <v>6.4349999999999996</v>
      </c>
    </row>
    <row r="29" spans="1:9" x14ac:dyDescent="0.2">
      <c r="A29" s="388" t="s">
        <v>160</v>
      </c>
      <c r="B29" s="388" t="s">
        <v>185</v>
      </c>
      <c r="C29" s="392" t="s">
        <v>162</v>
      </c>
      <c r="D29" s="396">
        <v>2977.2599999999998</v>
      </c>
      <c r="E29" s="396">
        <v>4929.21</v>
      </c>
      <c r="F29" s="395" t="s">
        <v>162</v>
      </c>
      <c r="G29" s="397">
        <v>95.026178010471213</v>
      </c>
      <c r="H29" s="397">
        <v>11.604712041884815</v>
      </c>
      <c r="I29" s="397">
        <v>11.518324607329843</v>
      </c>
    </row>
    <row r="30" spans="1:9" x14ac:dyDescent="0.2">
      <c r="A30" s="388" t="s">
        <v>160</v>
      </c>
      <c r="B30" s="388" t="s">
        <v>186</v>
      </c>
      <c r="C30" s="392" t="s">
        <v>162</v>
      </c>
      <c r="D30" s="396">
        <v>4400</v>
      </c>
      <c r="E30" s="396">
        <v>5940.0000000000009</v>
      </c>
      <c r="F30" s="395" t="s">
        <v>162</v>
      </c>
      <c r="G30" s="397">
        <v>200.57399999999998</v>
      </c>
      <c r="H30" s="397">
        <v>5.7914999999999992</v>
      </c>
      <c r="I30" s="397">
        <v>4.3064999999999998</v>
      </c>
    </row>
    <row r="31" spans="1:9" x14ac:dyDescent="0.2">
      <c r="A31" s="388" t="s">
        <v>160</v>
      </c>
      <c r="B31" s="390" t="s">
        <v>313</v>
      </c>
      <c r="C31" s="392" t="s">
        <v>162</v>
      </c>
      <c r="D31" s="396">
        <v>2632.3</v>
      </c>
      <c r="E31" s="396">
        <v>4241.6000000000004</v>
      </c>
      <c r="F31" s="395" t="s">
        <v>162</v>
      </c>
      <c r="G31" s="397">
        <v>200.57399999999998</v>
      </c>
      <c r="H31" s="397">
        <v>4.95</v>
      </c>
      <c r="I31" s="397">
        <v>3.4649999999999999</v>
      </c>
    </row>
    <row r="32" spans="1:9" x14ac:dyDescent="0.2">
      <c r="A32" s="388" t="s">
        <v>160</v>
      </c>
      <c r="B32" s="388" t="s">
        <v>187</v>
      </c>
      <c r="C32" s="392" t="s">
        <v>162</v>
      </c>
      <c r="D32" s="396">
        <v>1475.1</v>
      </c>
      <c r="E32" s="396">
        <v>3080.0000000000005</v>
      </c>
      <c r="F32" s="395" t="s">
        <v>162</v>
      </c>
      <c r="G32" s="397">
        <v>99</v>
      </c>
      <c r="H32" s="397">
        <v>3.1680000000000001</v>
      </c>
      <c r="I32" s="397">
        <v>0.99</v>
      </c>
    </row>
    <row r="33" spans="1:9" x14ac:dyDescent="0.2">
      <c r="A33" s="388" t="s">
        <v>160</v>
      </c>
      <c r="B33" s="388" t="s">
        <v>188</v>
      </c>
      <c r="C33" s="392" t="s">
        <v>162</v>
      </c>
      <c r="D33" s="396">
        <v>2200</v>
      </c>
      <c r="E33" s="396">
        <v>3080.0000000000005</v>
      </c>
      <c r="F33" s="395" t="s">
        <v>162</v>
      </c>
      <c r="G33" s="397">
        <v>99</v>
      </c>
      <c r="H33" s="397">
        <v>4.95</v>
      </c>
      <c r="I33" s="397">
        <v>1.4849999999999999</v>
      </c>
    </row>
    <row r="34" spans="1:9" x14ac:dyDescent="0.2">
      <c r="A34" s="388" t="s">
        <v>160</v>
      </c>
      <c r="B34" s="388" t="s">
        <v>189</v>
      </c>
      <c r="C34" s="392" t="s">
        <v>162</v>
      </c>
      <c r="D34" s="396">
        <v>1636.8</v>
      </c>
      <c r="E34" s="396">
        <v>2994.2</v>
      </c>
      <c r="F34" s="395" t="s">
        <v>162</v>
      </c>
      <c r="G34" s="397">
        <v>99</v>
      </c>
      <c r="H34" s="397">
        <v>3.5640000000000001</v>
      </c>
      <c r="I34" s="397">
        <v>0.59399999999999997</v>
      </c>
    </row>
    <row r="35" spans="1:9" x14ac:dyDescent="0.2">
      <c r="A35" s="388" t="s">
        <v>160</v>
      </c>
      <c r="B35" s="388" t="s">
        <v>190</v>
      </c>
      <c r="C35" s="392" t="s">
        <v>162</v>
      </c>
      <c r="D35" s="396">
        <v>1971.2</v>
      </c>
      <c r="E35" s="396">
        <v>3089.9</v>
      </c>
      <c r="F35" s="395" t="s">
        <v>162</v>
      </c>
      <c r="G35" s="397">
        <v>99</v>
      </c>
      <c r="H35" s="397">
        <v>5.1479999999999997</v>
      </c>
      <c r="I35" s="397">
        <v>2.1779999999999999</v>
      </c>
    </row>
    <row r="36" spans="1:9" x14ac:dyDescent="0.2">
      <c r="A36" s="388" t="s">
        <v>160</v>
      </c>
      <c r="B36" s="388" t="s">
        <v>191</v>
      </c>
      <c r="C36" s="392" t="s">
        <v>162</v>
      </c>
      <c r="D36" s="396">
        <v>2481.6</v>
      </c>
      <c r="E36" s="396">
        <v>4653</v>
      </c>
      <c r="F36" s="395" t="s">
        <v>162</v>
      </c>
      <c r="G36" s="397">
        <v>99</v>
      </c>
      <c r="H36" s="397">
        <v>7.3260000000000005</v>
      </c>
      <c r="I36" s="397">
        <v>2.7719999999999998</v>
      </c>
    </row>
    <row r="37" spans="1:9" x14ac:dyDescent="0.2">
      <c r="A37" s="388" t="s">
        <v>160</v>
      </c>
      <c r="B37" s="388" t="s">
        <v>192</v>
      </c>
      <c r="C37" s="392" t="s">
        <v>162</v>
      </c>
      <c r="D37" s="396">
        <v>1637.3500000000001</v>
      </c>
      <c r="E37" s="396">
        <v>2860</v>
      </c>
      <c r="F37" s="395" t="s">
        <v>162</v>
      </c>
      <c r="G37" s="397">
        <v>108.89999999999999</v>
      </c>
      <c r="H37" s="397">
        <v>1.98</v>
      </c>
      <c r="I37" s="397">
        <v>1.98</v>
      </c>
    </row>
    <row r="38" spans="1:9" x14ac:dyDescent="0.2">
      <c r="A38" s="388" t="s">
        <v>160</v>
      </c>
      <c r="B38" s="390" t="s">
        <v>314</v>
      </c>
      <c r="C38" s="392" t="s">
        <v>162</v>
      </c>
      <c r="D38" s="396">
        <v>4675</v>
      </c>
      <c r="E38" s="396">
        <v>6820</v>
      </c>
      <c r="F38" s="395" t="s">
        <v>162</v>
      </c>
      <c r="G38" s="397">
        <v>265.35087719298247</v>
      </c>
      <c r="H38" s="397">
        <v>6.3684210526315796</v>
      </c>
      <c r="I38" s="397">
        <v>6.3684210526315796</v>
      </c>
    </row>
    <row r="39" spans="1:9" x14ac:dyDescent="0.2">
      <c r="A39" s="388" t="s">
        <v>160</v>
      </c>
      <c r="B39" s="388" t="s">
        <v>193</v>
      </c>
      <c r="C39" s="392" t="s">
        <v>162</v>
      </c>
      <c r="D39" s="396">
        <v>6992.7</v>
      </c>
      <c r="E39" s="396">
        <v>4889.17</v>
      </c>
      <c r="F39" s="395" t="s">
        <v>162</v>
      </c>
      <c r="G39" s="397">
        <v>113.85</v>
      </c>
      <c r="H39" s="397">
        <v>6.3855000000000004</v>
      </c>
      <c r="I39" s="397">
        <v>5.8905000000000003</v>
      </c>
    </row>
    <row r="40" spans="1:9" x14ac:dyDescent="0.2">
      <c r="A40" s="388" t="s">
        <v>160</v>
      </c>
      <c r="B40" s="388" t="s">
        <v>194</v>
      </c>
      <c r="C40" s="392" t="s">
        <v>162</v>
      </c>
      <c r="D40" s="396">
        <v>3317.6</v>
      </c>
      <c r="E40" s="396">
        <v>5562.7</v>
      </c>
      <c r="F40" s="395" t="s">
        <v>162</v>
      </c>
      <c r="G40" s="397">
        <v>108.89999999999999</v>
      </c>
      <c r="H40" s="397">
        <v>6.7319999999999993</v>
      </c>
      <c r="I40" s="397">
        <v>6.7319999999999993</v>
      </c>
    </row>
    <row r="41" spans="1:9" x14ac:dyDescent="0.2">
      <c r="A41" s="388" t="s">
        <v>160</v>
      </c>
      <c r="B41" s="388" t="s">
        <v>195</v>
      </c>
      <c r="C41" s="392" t="s">
        <v>162</v>
      </c>
      <c r="D41" s="396">
        <v>5661.7</v>
      </c>
      <c r="E41" s="396">
        <v>9935.2000000000007</v>
      </c>
      <c r="F41" s="395" t="s">
        <v>162</v>
      </c>
      <c r="G41" s="397">
        <v>96.03</v>
      </c>
      <c r="H41" s="397">
        <v>3.3659999999999997</v>
      </c>
      <c r="I41" s="397">
        <v>2.5245000000000002</v>
      </c>
    </row>
    <row r="42" spans="1:9" x14ac:dyDescent="0.2">
      <c r="A42" s="388" t="s">
        <v>160</v>
      </c>
      <c r="B42" s="388" t="s">
        <v>196</v>
      </c>
      <c r="C42" s="392" t="s">
        <v>162</v>
      </c>
      <c r="D42" s="396">
        <v>3230.7</v>
      </c>
      <c r="E42" s="396">
        <v>5095.2</v>
      </c>
      <c r="F42" s="395" t="s">
        <v>162</v>
      </c>
      <c r="G42" s="397">
        <v>94.05</v>
      </c>
      <c r="H42" s="397">
        <v>2.7719999999999998</v>
      </c>
      <c r="I42" s="397">
        <v>1.6829999999999998</v>
      </c>
    </row>
    <row r="43" spans="1:9" x14ac:dyDescent="0.2">
      <c r="A43" s="388" t="s">
        <v>160</v>
      </c>
      <c r="B43" s="388" t="s">
        <v>197</v>
      </c>
      <c r="C43" s="392" t="s">
        <v>162</v>
      </c>
      <c r="D43" s="396">
        <v>7160.01</v>
      </c>
      <c r="E43" s="396">
        <v>10316.02</v>
      </c>
      <c r="F43" s="395" t="s">
        <v>162</v>
      </c>
      <c r="G43" s="397">
        <v>108.89999999999999</v>
      </c>
      <c r="H43" s="397">
        <v>6.7319999999999993</v>
      </c>
      <c r="I43" s="397">
        <v>6.7319999999999993</v>
      </c>
    </row>
    <row r="44" spans="1:9" x14ac:dyDescent="0.2">
      <c r="A44" s="388" t="s">
        <v>160</v>
      </c>
      <c r="B44" s="388" t="s">
        <v>198</v>
      </c>
      <c r="C44" s="392" t="s">
        <v>162</v>
      </c>
      <c r="D44" s="396">
        <v>3865.2900000000004</v>
      </c>
      <c r="E44" s="396">
        <v>5885.880000000001</v>
      </c>
      <c r="F44" s="395" t="s">
        <v>162</v>
      </c>
      <c r="G44" s="397">
        <v>108.89999999999999</v>
      </c>
      <c r="H44" s="397">
        <v>7.8210000000000006</v>
      </c>
      <c r="I44" s="397">
        <v>7.8210000000000006</v>
      </c>
    </row>
    <row r="45" spans="1:9" x14ac:dyDescent="0.2">
      <c r="A45" s="388" t="s">
        <v>160</v>
      </c>
      <c r="B45" s="388" t="s">
        <v>199</v>
      </c>
      <c r="C45" s="392" t="s">
        <v>162</v>
      </c>
      <c r="D45" s="396">
        <v>3080.0000000000005</v>
      </c>
      <c r="E45" s="396">
        <v>4840</v>
      </c>
      <c r="F45" s="395" t="s">
        <v>162</v>
      </c>
      <c r="G45" s="397">
        <v>188.1</v>
      </c>
      <c r="H45" s="397">
        <v>11.879999999999999</v>
      </c>
      <c r="I45" s="397">
        <v>9.702</v>
      </c>
    </row>
    <row r="46" spans="1:9" x14ac:dyDescent="0.2">
      <c r="A46" s="388" t="s">
        <v>160</v>
      </c>
      <c r="B46" s="388" t="s">
        <v>200</v>
      </c>
      <c r="C46" s="392" t="s">
        <v>162</v>
      </c>
      <c r="D46" s="396">
        <v>2416.6999999999998</v>
      </c>
      <c r="E46" s="396">
        <v>4655.2</v>
      </c>
      <c r="F46" s="395" t="s">
        <v>162</v>
      </c>
      <c r="G46" s="397">
        <v>84.744</v>
      </c>
      <c r="H46" s="397">
        <v>11.978999999999999</v>
      </c>
      <c r="I46" s="397">
        <v>11.978999999999999</v>
      </c>
    </row>
    <row r="47" spans="1:9" x14ac:dyDescent="0.2">
      <c r="A47" s="388" t="s">
        <v>160</v>
      </c>
      <c r="B47" s="388" t="s">
        <v>201</v>
      </c>
      <c r="C47" s="392" t="s">
        <v>162</v>
      </c>
      <c r="D47" s="396">
        <v>2200</v>
      </c>
      <c r="E47" s="396">
        <v>3300.0000000000005</v>
      </c>
      <c r="F47" s="395" t="s">
        <v>162</v>
      </c>
      <c r="G47" s="397">
        <v>76.23</v>
      </c>
      <c r="H47" s="397">
        <v>3.1680000000000001</v>
      </c>
      <c r="I47" s="397">
        <v>3.1680000000000001</v>
      </c>
    </row>
    <row r="48" spans="1:9" x14ac:dyDescent="0.2">
      <c r="A48" s="388" t="s">
        <v>160</v>
      </c>
      <c r="B48" s="388" t="s">
        <v>202</v>
      </c>
      <c r="C48" s="392" t="s">
        <v>162</v>
      </c>
      <c r="D48" s="396">
        <v>3630.0000000000005</v>
      </c>
      <c r="E48" s="396">
        <v>5940.0000000000009</v>
      </c>
      <c r="F48" s="395" t="s">
        <v>162</v>
      </c>
      <c r="G48" s="397">
        <v>137.98245614035088</v>
      </c>
      <c r="H48" s="397">
        <v>6.0345614035087722</v>
      </c>
      <c r="I48" s="397">
        <v>6.0345614035087722</v>
      </c>
    </row>
    <row r="49" spans="1:9" x14ac:dyDescent="0.2">
      <c r="A49" s="388" t="s">
        <v>160</v>
      </c>
      <c r="B49" s="390" t="s">
        <v>315</v>
      </c>
      <c r="C49" s="392" t="s">
        <v>162</v>
      </c>
      <c r="D49" s="396">
        <v>6028.0000000000009</v>
      </c>
      <c r="E49" s="396">
        <v>8558</v>
      </c>
      <c r="F49" s="395" t="s">
        <v>162</v>
      </c>
      <c r="G49" s="397">
        <v>76.23</v>
      </c>
      <c r="H49" s="397">
        <v>3.1680000000000001</v>
      </c>
      <c r="I49" s="397">
        <v>2.1779999999999999</v>
      </c>
    </row>
    <row r="50" spans="1:9" x14ac:dyDescent="0.2">
      <c r="A50" s="388" t="s">
        <v>160</v>
      </c>
      <c r="B50" s="388" t="s">
        <v>203</v>
      </c>
      <c r="C50" s="392" t="s">
        <v>162</v>
      </c>
      <c r="D50" s="396">
        <v>4840</v>
      </c>
      <c r="E50" s="396">
        <v>7040.0000000000009</v>
      </c>
      <c r="F50" s="395" t="s">
        <v>162</v>
      </c>
      <c r="G50" s="397">
        <v>200.57399999999998</v>
      </c>
      <c r="H50" s="397">
        <v>4.851</v>
      </c>
      <c r="I50" s="397">
        <v>3.4155000000000002</v>
      </c>
    </row>
    <row r="51" spans="1:9" x14ac:dyDescent="0.2">
      <c r="A51" s="388" t="s">
        <v>160</v>
      </c>
      <c r="B51" s="388" t="s">
        <v>204</v>
      </c>
      <c r="C51" s="392" t="s">
        <v>162</v>
      </c>
      <c r="D51" s="396">
        <v>5735.7300000000005</v>
      </c>
      <c r="E51" s="396">
        <v>9625.33</v>
      </c>
      <c r="F51" s="395" t="s">
        <v>162</v>
      </c>
      <c r="G51" s="397">
        <v>108.89999999999999</v>
      </c>
      <c r="H51" s="397">
        <v>7.8210000000000006</v>
      </c>
      <c r="I51" s="397">
        <v>7.8210000000000006</v>
      </c>
    </row>
    <row r="52" spans="1:9" x14ac:dyDescent="0.2">
      <c r="A52" s="388" t="s">
        <v>160</v>
      </c>
      <c r="B52" s="388" t="s">
        <v>205</v>
      </c>
      <c r="C52" s="392" t="s">
        <v>162</v>
      </c>
      <c r="D52" s="396">
        <v>2325.1799999999998</v>
      </c>
      <c r="E52" s="396">
        <v>4012.58</v>
      </c>
      <c r="F52" s="395" t="s">
        <v>162</v>
      </c>
      <c r="G52" s="397">
        <v>108.89999999999999</v>
      </c>
      <c r="H52" s="397">
        <v>4.3559999999999999</v>
      </c>
      <c r="I52" s="397">
        <v>4.3559999999999999</v>
      </c>
    </row>
    <row r="53" spans="1:9" x14ac:dyDescent="0.2">
      <c r="A53" s="388" t="s">
        <v>160</v>
      </c>
      <c r="B53" s="388" t="s">
        <v>206</v>
      </c>
      <c r="C53" s="392" t="s">
        <v>162</v>
      </c>
      <c r="D53" s="396">
        <v>1916.2</v>
      </c>
      <c r="E53" s="396">
        <v>3206.5</v>
      </c>
      <c r="F53" s="395" t="s">
        <v>162</v>
      </c>
      <c r="G53" s="397">
        <v>117.81</v>
      </c>
      <c r="H53" s="397">
        <v>4.0590000000000002</v>
      </c>
      <c r="I53" s="397">
        <v>2.5739999999999998</v>
      </c>
    </row>
    <row r="54" spans="1:9" x14ac:dyDescent="0.2">
      <c r="A54" s="388" t="s">
        <v>160</v>
      </c>
      <c r="B54" s="388" t="s">
        <v>207</v>
      </c>
      <c r="C54" s="392" t="s">
        <v>162</v>
      </c>
      <c r="D54" s="396">
        <v>1445.4</v>
      </c>
      <c r="E54" s="396">
        <v>3080.0000000000005</v>
      </c>
      <c r="F54" s="395" t="s">
        <v>162</v>
      </c>
      <c r="G54" s="397">
        <v>99</v>
      </c>
      <c r="H54" s="397">
        <v>3.1680000000000001</v>
      </c>
      <c r="I54" s="397">
        <v>0.79200000000000004</v>
      </c>
    </row>
    <row r="55" spans="1:9" x14ac:dyDescent="0.2">
      <c r="A55" s="388" t="s">
        <v>160</v>
      </c>
      <c r="B55" s="388" t="s">
        <v>208</v>
      </c>
      <c r="C55" s="392" t="s">
        <v>162</v>
      </c>
      <c r="D55" s="396">
        <v>1980.0000000000002</v>
      </c>
      <c r="E55" s="396">
        <v>2640</v>
      </c>
      <c r="F55" s="395" t="s">
        <v>162</v>
      </c>
      <c r="G55" s="397">
        <v>94.05</v>
      </c>
      <c r="H55" s="397">
        <v>2.673</v>
      </c>
      <c r="I55" s="397">
        <v>1.3859999999999999</v>
      </c>
    </row>
    <row r="56" spans="1:9" x14ac:dyDescent="0.2">
      <c r="A56" s="388" t="s">
        <v>160</v>
      </c>
      <c r="B56" s="388" t="s">
        <v>209</v>
      </c>
      <c r="C56" s="392" t="s">
        <v>162</v>
      </c>
      <c r="D56" s="396">
        <v>5957.6</v>
      </c>
      <c r="E56" s="396">
        <v>11614.9</v>
      </c>
      <c r="F56" s="395" t="s">
        <v>162</v>
      </c>
      <c r="G56" s="397">
        <v>117.81</v>
      </c>
      <c r="H56" s="397">
        <v>4.5044999999999993</v>
      </c>
      <c r="I56" s="397">
        <v>3.0194999999999999</v>
      </c>
    </row>
    <row r="57" spans="1:9" x14ac:dyDescent="0.2">
      <c r="A57" s="388" t="s">
        <v>160</v>
      </c>
      <c r="B57" s="390" t="s">
        <v>318</v>
      </c>
      <c r="C57" s="392" t="s">
        <v>162</v>
      </c>
      <c r="D57" s="396">
        <v>4235</v>
      </c>
      <c r="E57" s="396">
        <v>7507.5000000000009</v>
      </c>
      <c r="F57" s="395" t="s">
        <v>162</v>
      </c>
      <c r="G57" s="397">
        <v>84.744</v>
      </c>
      <c r="H57" s="397">
        <v>12.87</v>
      </c>
      <c r="I57" s="397">
        <v>5.6627999999999998</v>
      </c>
    </row>
    <row r="58" spans="1:9" x14ac:dyDescent="0.2">
      <c r="A58" s="388" t="s">
        <v>160</v>
      </c>
      <c r="B58" s="388" t="s">
        <v>210</v>
      </c>
      <c r="C58" s="392" t="s">
        <v>162</v>
      </c>
      <c r="D58" s="396">
        <v>7160.01</v>
      </c>
      <c r="E58" s="396">
        <v>10316.02</v>
      </c>
      <c r="F58" s="395" t="s">
        <v>162</v>
      </c>
      <c r="G58" s="397">
        <v>113.85</v>
      </c>
      <c r="H58" s="397">
        <v>2.9699999999999998</v>
      </c>
      <c r="I58" s="397">
        <v>2.1779999999999999</v>
      </c>
    </row>
    <row r="59" spans="1:9" x14ac:dyDescent="0.2">
      <c r="A59" s="388" t="s">
        <v>160</v>
      </c>
      <c r="B59" s="388" t="s">
        <v>211</v>
      </c>
      <c r="C59" s="392" t="s">
        <v>162</v>
      </c>
      <c r="D59" s="396">
        <v>2972.9700000000003</v>
      </c>
      <c r="E59" s="396">
        <v>5604.17</v>
      </c>
      <c r="F59" s="395" t="s">
        <v>162</v>
      </c>
      <c r="G59" s="397">
        <v>113.85</v>
      </c>
      <c r="H59" s="397">
        <v>5.6429999999999998</v>
      </c>
      <c r="I59" s="397">
        <v>4.9005000000000001</v>
      </c>
    </row>
    <row r="60" spans="1:9" x14ac:dyDescent="0.2">
      <c r="A60" s="388" t="s">
        <v>160</v>
      </c>
      <c r="B60" s="388" t="s">
        <v>212</v>
      </c>
      <c r="C60" s="392" t="s">
        <v>162</v>
      </c>
      <c r="D60" s="396">
        <v>4056.8</v>
      </c>
      <c r="E60" s="396">
        <v>5746.4</v>
      </c>
      <c r="F60" s="395" t="s">
        <v>162</v>
      </c>
      <c r="G60" s="397">
        <v>594.38596491228077</v>
      </c>
      <c r="H60" s="397">
        <v>8.1438596491228079</v>
      </c>
      <c r="I60" s="397">
        <v>8.1438596491228079</v>
      </c>
    </row>
    <row r="61" spans="1:9" x14ac:dyDescent="0.2">
      <c r="A61" s="388" t="s">
        <v>160</v>
      </c>
      <c r="B61" s="388" t="s">
        <v>213</v>
      </c>
      <c r="C61" s="392" t="s">
        <v>162</v>
      </c>
      <c r="D61" s="396">
        <v>2970.0000000000005</v>
      </c>
      <c r="E61" s="396">
        <v>4840</v>
      </c>
      <c r="F61" s="395" t="s">
        <v>162</v>
      </c>
      <c r="G61" s="397">
        <v>84.744</v>
      </c>
      <c r="H61" s="397">
        <v>3.4649999999999999</v>
      </c>
      <c r="I61" s="397">
        <v>2.5937999999999999</v>
      </c>
    </row>
    <row r="62" spans="1:9" x14ac:dyDescent="0.2">
      <c r="A62" s="388" t="s">
        <v>160</v>
      </c>
      <c r="B62" s="388" t="s">
        <v>214</v>
      </c>
      <c r="C62" s="392" t="s">
        <v>162</v>
      </c>
      <c r="D62" s="396">
        <v>8499.7000000000007</v>
      </c>
      <c r="E62" s="396">
        <v>15158</v>
      </c>
      <c r="F62" s="395" t="s">
        <v>162</v>
      </c>
      <c r="G62" s="397">
        <v>99.868421052631575</v>
      </c>
      <c r="H62" s="397">
        <v>5.9438596491228077</v>
      </c>
      <c r="I62" s="397">
        <v>5.9438596491228077</v>
      </c>
    </row>
    <row r="63" spans="1:9" x14ac:dyDescent="0.2">
      <c r="A63" s="388" t="s">
        <v>160</v>
      </c>
      <c r="B63" s="388" t="s">
        <v>215</v>
      </c>
      <c r="C63" s="392" t="s">
        <v>162</v>
      </c>
      <c r="D63" s="396">
        <v>1259.5</v>
      </c>
      <c r="E63" s="396">
        <v>2750</v>
      </c>
      <c r="F63" s="395" t="s">
        <v>162</v>
      </c>
      <c r="G63" s="397">
        <v>94.05</v>
      </c>
      <c r="H63" s="397">
        <v>2.3759999999999999</v>
      </c>
      <c r="I63" s="397">
        <v>1.3859999999999999</v>
      </c>
    </row>
    <row r="64" spans="1:9" x14ac:dyDescent="0.2">
      <c r="A64" s="388" t="s">
        <v>160</v>
      </c>
      <c r="B64" s="390" t="s">
        <v>316</v>
      </c>
      <c r="C64" s="392" t="s">
        <v>162</v>
      </c>
      <c r="D64" s="396">
        <v>3766.4</v>
      </c>
      <c r="E64" s="396">
        <v>5676</v>
      </c>
      <c r="F64" s="395" t="s">
        <v>162</v>
      </c>
      <c r="G64" s="397">
        <v>265.35087719298247</v>
      </c>
      <c r="H64" s="397">
        <v>6.5903508771929831</v>
      </c>
      <c r="I64" s="397">
        <v>6.5903508771929831</v>
      </c>
    </row>
    <row r="65" spans="1:9" x14ac:dyDescent="0.2">
      <c r="A65" s="388" t="s">
        <v>160</v>
      </c>
      <c r="B65" s="388" t="s">
        <v>216</v>
      </c>
      <c r="C65" s="392" t="s">
        <v>162</v>
      </c>
      <c r="D65" s="396">
        <v>1615.9</v>
      </c>
      <c r="E65" s="396">
        <v>2908.6200000000003</v>
      </c>
      <c r="F65" s="395" t="s">
        <v>162</v>
      </c>
      <c r="G65" s="397">
        <v>94.05</v>
      </c>
      <c r="H65" s="397">
        <v>2.3759999999999999</v>
      </c>
      <c r="I65" s="397">
        <v>1.2869999999999999</v>
      </c>
    </row>
    <row r="66" spans="1:9" x14ac:dyDescent="0.2">
      <c r="A66" s="388" t="s">
        <v>160</v>
      </c>
      <c r="B66" s="390" t="s">
        <v>317</v>
      </c>
      <c r="C66" s="392" t="s">
        <v>162</v>
      </c>
      <c r="D66" s="396">
        <v>10093.6</v>
      </c>
      <c r="E66" s="396">
        <v>11193.6</v>
      </c>
      <c r="F66" s="395" t="s">
        <v>162</v>
      </c>
      <c r="G66" s="397">
        <v>63.926701570680628</v>
      </c>
      <c r="H66" s="397">
        <v>3.4842931937172774</v>
      </c>
      <c r="I66" s="397">
        <v>3.4842931937172774</v>
      </c>
    </row>
    <row r="67" spans="1:9" x14ac:dyDescent="0.2">
      <c r="A67" s="388" t="s">
        <v>160</v>
      </c>
      <c r="B67" s="388" t="s">
        <v>217</v>
      </c>
      <c r="C67" s="392" t="s">
        <v>162</v>
      </c>
      <c r="D67" s="396">
        <v>2090</v>
      </c>
      <c r="E67" s="396">
        <v>2970.0000000000005</v>
      </c>
      <c r="F67" s="395" t="s">
        <v>162</v>
      </c>
      <c r="G67" s="397">
        <v>215.05</v>
      </c>
      <c r="H67" s="397">
        <v>6.7540000000000004</v>
      </c>
      <c r="I67" s="397">
        <v>6.1380000000000008</v>
      </c>
    </row>
    <row r="68" spans="1:9" x14ac:dyDescent="0.2">
      <c r="A68" s="388" t="s">
        <v>160</v>
      </c>
      <c r="B68" s="388" t="s">
        <v>218</v>
      </c>
      <c r="C68" s="392" t="s">
        <v>162</v>
      </c>
      <c r="D68" s="396">
        <v>3560.7000000000003</v>
      </c>
      <c r="E68" s="396">
        <v>5362.5</v>
      </c>
      <c r="F68" s="395" t="s">
        <v>162</v>
      </c>
      <c r="G68" s="397">
        <v>108.89999999999999</v>
      </c>
      <c r="H68" s="397">
        <v>6.3360000000000003</v>
      </c>
      <c r="I68" s="397">
        <v>6.3360000000000003</v>
      </c>
    </row>
    <row r="69" spans="1:9" x14ac:dyDescent="0.2">
      <c r="A69" s="388" t="s">
        <v>160</v>
      </c>
      <c r="B69" s="388" t="s">
        <v>219</v>
      </c>
      <c r="C69" s="392" t="s">
        <v>162</v>
      </c>
      <c r="D69" s="396">
        <v>5172.2</v>
      </c>
      <c r="E69" s="396">
        <v>9658</v>
      </c>
      <c r="F69" s="395" t="s">
        <v>162</v>
      </c>
      <c r="G69" s="397">
        <v>117.81</v>
      </c>
      <c r="H69" s="397">
        <v>3.8115000000000001</v>
      </c>
      <c r="I69" s="397">
        <v>2.3265000000000002</v>
      </c>
    </row>
    <row r="70" spans="1:9" x14ac:dyDescent="0.2">
      <c r="A70" s="388" t="s">
        <v>160</v>
      </c>
      <c r="B70" s="388" t="s">
        <v>220</v>
      </c>
      <c r="C70" s="392" t="s">
        <v>162</v>
      </c>
      <c r="D70" s="396">
        <v>1602.7</v>
      </c>
      <c r="E70" s="396">
        <v>2464</v>
      </c>
      <c r="F70" s="395" t="s">
        <v>162</v>
      </c>
      <c r="G70" s="397">
        <v>63.36</v>
      </c>
      <c r="H70" s="397">
        <v>2.1779999999999999</v>
      </c>
      <c r="I70" s="397">
        <v>1.98</v>
      </c>
    </row>
    <row r="71" spans="1:9" x14ac:dyDescent="0.2">
      <c r="A71" s="388" t="s">
        <v>160</v>
      </c>
      <c r="B71" s="388" t="s">
        <v>221</v>
      </c>
      <c r="C71" s="392" t="s">
        <v>162</v>
      </c>
      <c r="D71" s="396">
        <v>2356.1999999999998</v>
      </c>
      <c r="E71" s="396">
        <v>4411</v>
      </c>
      <c r="F71" s="395" t="s">
        <v>162</v>
      </c>
      <c r="G71" s="397">
        <v>99</v>
      </c>
      <c r="H71" s="397">
        <v>2.9699999999999998</v>
      </c>
      <c r="I71" s="397">
        <v>2.3759999999999999</v>
      </c>
    </row>
    <row r="72" spans="1:9" x14ac:dyDescent="0.2">
      <c r="A72" s="388" t="s">
        <v>160</v>
      </c>
      <c r="B72" s="388" t="s">
        <v>222</v>
      </c>
      <c r="C72" s="392" t="s">
        <v>162</v>
      </c>
      <c r="D72" s="396">
        <v>3190.0000000000005</v>
      </c>
      <c r="E72" s="396">
        <v>4510</v>
      </c>
      <c r="F72" s="395" t="s">
        <v>162</v>
      </c>
      <c r="G72" s="397">
        <v>99</v>
      </c>
      <c r="H72" s="397">
        <v>4.95</v>
      </c>
      <c r="I72" s="397">
        <v>1.1879999999999999</v>
      </c>
    </row>
    <row r="73" spans="1:9" x14ac:dyDescent="0.2">
      <c r="A73" s="388" t="s">
        <v>160</v>
      </c>
      <c r="B73" s="388" t="s">
        <v>223</v>
      </c>
      <c r="C73" s="392" t="s">
        <v>162</v>
      </c>
      <c r="D73" s="396">
        <v>1915.1</v>
      </c>
      <c r="E73" s="396">
        <v>2990.9</v>
      </c>
      <c r="F73" s="395" t="s">
        <v>162</v>
      </c>
      <c r="G73" s="397">
        <v>94.05</v>
      </c>
      <c r="H73" s="397">
        <v>2.9699999999999998</v>
      </c>
      <c r="I73" s="397">
        <v>2.2770000000000001</v>
      </c>
    </row>
    <row r="74" spans="1:9" x14ac:dyDescent="0.2">
      <c r="A74" s="388" t="s">
        <v>160</v>
      </c>
      <c r="B74" s="388" t="s">
        <v>224</v>
      </c>
      <c r="C74" s="392" t="s">
        <v>162</v>
      </c>
      <c r="D74" s="396">
        <v>5979.6</v>
      </c>
      <c r="E74" s="396">
        <v>11163.9</v>
      </c>
      <c r="F74" s="395" t="s">
        <v>162</v>
      </c>
      <c r="G74" s="397">
        <v>85.8</v>
      </c>
      <c r="H74" s="397">
        <v>22.022000000000002</v>
      </c>
      <c r="I74" s="397">
        <v>2.2165000000000004</v>
      </c>
    </row>
    <row r="75" spans="1:9" x14ac:dyDescent="0.2">
      <c r="A75" s="388" t="s">
        <v>160</v>
      </c>
      <c r="B75" s="388" t="s">
        <v>225</v>
      </c>
      <c r="C75" s="392" t="s">
        <v>162</v>
      </c>
      <c r="D75" s="396">
        <v>8356.7000000000007</v>
      </c>
      <c r="E75" s="396">
        <v>11321.2</v>
      </c>
      <c r="F75" s="395" t="s">
        <v>162</v>
      </c>
      <c r="G75" s="397">
        <v>117.81</v>
      </c>
      <c r="H75" s="397">
        <v>5.2965</v>
      </c>
      <c r="I75" s="397">
        <v>3.8115000000000001</v>
      </c>
    </row>
    <row r="76" spans="1:9" x14ac:dyDescent="0.2">
      <c r="A76" s="388"/>
      <c r="B76" s="388"/>
      <c r="C76" s="388"/>
      <c r="D76" s="388"/>
      <c r="E76" s="388"/>
      <c r="F76" s="388"/>
      <c r="G76" s="388"/>
      <c r="H76" s="388"/>
      <c r="I76" s="388"/>
    </row>
    <row r="77" spans="1:9" x14ac:dyDescent="0.2">
      <c r="A77" s="393" t="s">
        <v>375</v>
      </c>
      <c r="B77" s="388"/>
      <c r="C77" s="388"/>
      <c r="D77" s="391"/>
      <c r="E77" s="391"/>
      <c r="F77" s="388"/>
      <c r="G77" s="388"/>
      <c r="H77" s="388"/>
      <c r="I77" s="388"/>
    </row>
    <row r="78" spans="1:9" x14ac:dyDescent="0.2">
      <c r="A78" s="393" t="s">
        <v>376</v>
      </c>
      <c r="B78" s="388"/>
      <c r="C78" s="388"/>
      <c r="D78" s="391"/>
      <c r="E78" s="391"/>
      <c r="F78" s="388"/>
      <c r="G78" s="388"/>
      <c r="H78" s="388"/>
      <c r="I78" s="388"/>
    </row>
  </sheetData>
  <sheetProtection password="F206" sheet="1" objects="1" scenarios="1"/>
  <phoneticPr fontId="0" type="noConversion"/>
  <pageMargins left="0.35" right="0.26" top="0.67" bottom="0.77" header="0.51181102362204722" footer="0.51181102362204722"/>
  <pageSetup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Read Me (ENG)</vt:lpstr>
      <vt:lpstr>Lisez-moi (FR)</vt:lpstr>
      <vt:lpstr>Léame (ESP)</vt:lpstr>
      <vt:lpstr>Input</vt:lpstr>
      <vt:lpstr>Calculation</vt:lpstr>
      <vt:lpstr>Output</vt:lpstr>
      <vt:lpstr>Products</vt:lpstr>
      <vt:lpstr>Date Function</vt:lpstr>
      <vt:lpstr>Frt-table</vt:lpstr>
      <vt:lpstr>country</vt:lpstr>
      <vt:lpstr>Date_Table</vt:lpstr>
      <vt:lpstr>frttable</vt:lpstr>
      <vt:lpstr>Group</vt:lpstr>
      <vt:lpstr>inpatient</vt:lpstr>
      <vt:lpstr>outpatient</vt:lpstr>
      <vt:lpstr>Calculation!Print_Area</vt:lpstr>
      <vt:lpstr>Input!Print_Area</vt:lpstr>
      <vt:lpstr>'Léame (ESP)'!Print_Area</vt:lpstr>
      <vt:lpstr>'Lisez-moi (FR)'!Print_Area</vt:lpstr>
      <vt:lpstr>Output!Print_Area</vt:lpstr>
      <vt:lpstr>Products!Print_Area</vt:lpstr>
      <vt:lpstr>'Read Me (ENG)'!Print_Area</vt:lpstr>
      <vt:lpstr>Output!Print_Titles</vt:lpstr>
      <vt:lpstr>products_all</vt:lpstr>
      <vt:lpstr>products_dd</vt:lpstr>
      <vt:lpstr>treatm_in</vt:lpstr>
      <vt:lpstr>treatm_out</vt:lpstr>
    </vt:vector>
  </TitlesOfParts>
  <Company>UNICEF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 Hatuqa</dc:creator>
  <cp:lastModifiedBy>Erin Boyd</cp:lastModifiedBy>
  <cp:lastPrinted>2011-12-19T09:14:38Z</cp:lastPrinted>
  <dcterms:created xsi:type="dcterms:W3CDTF">2009-03-31T08:57:44Z</dcterms:created>
  <dcterms:modified xsi:type="dcterms:W3CDTF">2012-09-11T20:21:29Z</dcterms:modified>
</cp:coreProperties>
</file>